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6460" windowHeight="16400" tabRatio="222" activeTab="0"/>
  </bookViews>
  <sheets>
    <sheet name="BaTiO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<sst xmlns="http://schemas.openxmlformats.org/spreadsheetml/2006/main" count="25" uniqueCount="23">
  <si>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nm</t>
  </si>
  <si>
    <t>Line</t>
  </si>
  <si>
    <t>p</t>
  </si>
  <si>
    <t>Intensity</t>
  </si>
  <si>
    <t>Normalized Intensity</t>
  </si>
  <si>
    <t>h</t>
  </si>
  <si>
    <t>k</t>
  </si>
  <si>
    <t>l</t>
  </si>
  <si>
    <r>
      <t>Cu K</t>
    </r>
    <r>
      <rPr>
        <sz val="10"/>
        <rFont val="Symbol"/>
        <family val="0"/>
      </rPr>
      <t>a</t>
    </r>
    <r>
      <rPr>
        <sz val="10"/>
        <rFont val="Verdana"/>
        <family val="0"/>
      </rPr>
      <t xml:space="preserve"> radiation =</t>
    </r>
  </si>
  <si>
    <r>
      <t>sin</t>
    </r>
    <r>
      <rPr>
        <sz val="12"/>
        <rFont val="Symbol"/>
        <family val="0"/>
      </rPr>
      <t>q</t>
    </r>
  </si>
  <si>
    <r>
      <t>q</t>
    </r>
    <r>
      <rPr>
        <sz val="12"/>
        <rFont val="Verdana"/>
        <family val="0"/>
      </rPr>
      <t xml:space="preserve"> (rad)</t>
    </r>
  </si>
  <si>
    <r>
      <t>q</t>
    </r>
    <r>
      <rPr>
        <sz val="12"/>
        <rFont val="Verdana"/>
        <family val="0"/>
      </rPr>
      <t xml:space="preserve"> (deg)</t>
    </r>
  </si>
  <si>
    <r>
      <t>sin</t>
    </r>
    <r>
      <rPr>
        <sz val="12"/>
        <rFont val="Symbol"/>
        <family val="0"/>
      </rPr>
      <t>q</t>
    </r>
    <r>
      <rPr>
        <sz val="12"/>
        <rFont val="Verdana"/>
        <family val="0"/>
      </rPr>
      <t>/</t>
    </r>
    <r>
      <rPr>
        <sz val="12"/>
        <rFont val="Symbol"/>
        <family val="0"/>
      </rPr>
      <t>l</t>
    </r>
    <r>
      <rPr>
        <sz val="12"/>
        <rFont val="Verdana"/>
        <family val="0"/>
      </rPr>
      <t xml:space="preserve"> (A</t>
    </r>
    <r>
      <rPr>
        <vertAlign val="superscript"/>
        <sz val="12"/>
        <rFont val="Verdana"/>
        <family val="0"/>
      </rPr>
      <t>-1</t>
    </r>
    <r>
      <rPr>
        <sz val="12"/>
        <rFont val="Verdana"/>
        <family val="0"/>
      </rPr>
      <t>)</t>
    </r>
  </si>
  <si>
    <r>
      <t>F</t>
    </r>
    <r>
      <rPr>
        <vertAlign val="superscript"/>
        <sz val="12"/>
        <rFont val="Verdana"/>
        <family val="0"/>
      </rPr>
      <t>2</t>
    </r>
  </si>
  <si>
    <r>
      <t>(1 + cos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>)/(sin</t>
    </r>
    <r>
      <rPr>
        <vertAlign val="superscript"/>
        <sz val="12"/>
        <rFont val="Verdana"/>
        <family val="0"/>
      </rP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 xml:space="preserve"> cos</t>
    </r>
    <r>
      <rPr>
        <sz val="12"/>
        <rFont val="Symbol"/>
        <family val="0"/>
      </rPr>
      <t>q</t>
    </r>
    <r>
      <rPr>
        <sz val="12"/>
        <rFont val="Verdana"/>
        <family val="0"/>
      </rPr>
      <t>)</t>
    </r>
  </si>
  <si>
    <t>Lattice parameter =</t>
  </si>
  <si>
    <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 xml:space="preserve"> (deg)</t>
    </r>
  </si>
  <si>
    <r>
      <t>h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k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l</t>
    </r>
    <r>
      <rPr>
        <vertAlign val="superscript"/>
        <sz val="12"/>
        <rFont val="Verdana"/>
        <family val="0"/>
      </rPr>
      <t>2</t>
    </r>
  </si>
  <si>
    <r>
      <t>Theoretical X-Ray Diffraction Pattern for BaTiO</t>
    </r>
    <r>
      <rPr>
        <vertAlign val="subscript"/>
        <sz val="14"/>
        <rFont val="Verdana"/>
        <family val="0"/>
      </rPr>
      <t>3</t>
    </r>
  </si>
  <si>
    <r>
      <t>f</t>
    </r>
    <r>
      <rPr>
        <vertAlign val="subscript"/>
        <sz val="12"/>
        <rFont val="Verdana"/>
        <family val="0"/>
      </rPr>
      <t>Ba</t>
    </r>
  </si>
  <si>
    <r>
      <t>f</t>
    </r>
    <r>
      <rPr>
        <vertAlign val="subscript"/>
        <sz val="12"/>
        <rFont val="Verdana"/>
        <family val="0"/>
      </rPr>
      <t>Ti</t>
    </r>
  </si>
  <si>
    <r>
      <t>f</t>
    </r>
    <r>
      <rPr>
        <vertAlign val="subscript"/>
        <sz val="12"/>
        <rFont val="Verdana"/>
        <family val="0"/>
      </rPr>
      <t>O</t>
    </r>
  </si>
  <si>
    <t>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</si>
</sst>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0000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sz val="10"/>
      <name val="Symbo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i/>
      <sz val="12"/>
      <name val="Verdana"/>
      <family val="0"/>
    </font>
    <font>
      <vertAlign val="superscript"/>
      <sz val="12"/>
      <name val="Verdana"/>
      <family val="0"/>
    </font>
    <font>
      <vertAlign val="subscript"/>
      <sz val="12"/>
      <name val="Verdana"/>
      <family val="0"/>
    </font>
    <font>
      <sz val="12"/>
      <name val="Symbol"/>
      <family val="0"/>
    </font>
    <font>
      <sz val="8.75"/>
      <color indexed="8"/>
      <name val="Verdana"/>
      <family val="0"/>
    </font>
    <font>
      <sz val="12"/>
      <color indexed="8"/>
      <name val="Arial"/>
      <family val="0"/>
    </font>
    <font>
      <vertAlign val="subscript"/>
      <sz val="14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4"/>
      <color indexed="8"/>
      <name val="Symbol"/>
      <family val="0"/>
    </font>
    <font>
      <sz val="14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25"/>
          <c:w val="0.844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BaTiO3!$A$19:$A$28</c:f>
              <c:numCache/>
            </c:numRef>
          </c:xVal>
          <c:yVal>
            <c:numRef>
              <c:f>BaTiO3!$D$19:$D$28</c:f>
              <c:numCache/>
            </c:numRef>
          </c:yVal>
          <c:smooth val="0"/>
        </c:ser>
        <c:axId val="4204505"/>
        <c:axId val="37840546"/>
      </c:scatterChart>
      <c:valAx>
        <c:axId val="4204505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840546"/>
        <c:crosses val="autoZero"/>
        <c:crossBetween val="midCat"/>
        <c:dispUnits/>
      </c:valAx>
      <c:valAx>
        <c:axId val="3784054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Intensity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4505"/>
        <c:crosses val="autoZero"/>
        <c:crossBetween val="midCat"/>
        <c:dispUnits/>
        <c:majorUnit val="20"/>
        <c:minorUnit val="1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0</xdr:rowOff>
    </xdr:from>
    <xdr:to>
      <xdr:col>12</xdr:col>
      <xdr:colOff>276225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3514725" y="2952750"/>
        <a:ext cx="51530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125" zoomScaleNormal="125" zoomScalePageLayoutView="0" workbookViewId="0" topLeftCell="A1">
      <selection activeCell="P6" sqref="P6:P14"/>
    </sheetView>
  </sheetViews>
  <sheetFormatPr defaultColWidth="11.00390625" defaultRowHeight="12.75"/>
  <cols>
    <col min="1" max="1" width="9.50390625" style="0" customWidth="1"/>
    <col min="2" max="2" width="7.375" style="0" customWidth="1"/>
    <col min="3" max="3" width="7.625" style="0" customWidth="1"/>
    <col min="4" max="4" width="7.125" style="0" customWidth="1"/>
    <col min="5" max="5" width="14.50390625" style="0" customWidth="1"/>
    <col min="6" max="6" width="7.50390625" style="0" customWidth="1"/>
    <col min="7" max="7" width="7.125" style="0" customWidth="1"/>
    <col min="8" max="8" width="8.00390625" style="0" customWidth="1"/>
    <col min="9" max="9" width="9.375" style="0" customWidth="1"/>
    <col min="10" max="10" width="11.875" style="0" customWidth="1"/>
    <col min="11" max="11" width="10.50390625" style="0" customWidth="1"/>
    <col min="12" max="14" width="9.625" style="0" customWidth="1"/>
    <col min="15" max="15" width="10.50390625" style="0" customWidth="1"/>
    <col min="16" max="16" width="6.625" style="0" customWidth="1"/>
    <col min="17" max="17" width="25.00390625" style="0" customWidth="1"/>
    <col min="18" max="18" width="14.50390625" style="0" customWidth="1"/>
    <col min="19" max="19" width="12.625" style="0" customWidth="1"/>
  </cols>
  <sheetData>
    <row r="1" ht="19.5">
      <c r="A1" s="2" t="s">
        <v>18</v>
      </c>
    </row>
    <row r="2" spans="1:4" ht="12.75">
      <c r="A2" s="3" t="s">
        <v>8</v>
      </c>
      <c r="C2">
        <v>0.1542</v>
      </c>
      <c r="D2" t="s">
        <v>0</v>
      </c>
    </row>
    <row r="3" spans="1:4" ht="12.75">
      <c r="A3" t="s">
        <v>15</v>
      </c>
      <c r="C3">
        <v>0.4</v>
      </c>
      <c r="D3" t="s">
        <v>0</v>
      </c>
    </row>
    <row r="4" ht="12.75">
      <c r="A4" s="1"/>
    </row>
    <row r="5" spans="1:18" ht="34.5" customHeight="1">
      <c r="A5" s="5" t="s">
        <v>1</v>
      </c>
      <c r="B5" s="6" t="s">
        <v>5</v>
      </c>
      <c r="C5" s="6" t="s">
        <v>6</v>
      </c>
      <c r="D5" s="6" t="s">
        <v>7</v>
      </c>
      <c r="E5" s="6" t="s">
        <v>17</v>
      </c>
      <c r="F5" s="5" t="s">
        <v>9</v>
      </c>
      <c r="G5" s="7" t="s">
        <v>10</v>
      </c>
      <c r="H5" s="7" t="s">
        <v>11</v>
      </c>
      <c r="I5" s="5" t="s">
        <v>16</v>
      </c>
      <c r="J5" s="5" t="s">
        <v>12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13</v>
      </c>
      <c r="P5" s="6" t="s">
        <v>2</v>
      </c>
      <c r="Q5" s="5" t="s">
        <v>14</v>
      </c>
      <c r="R5" s="5" t="s">
        <v>3</v>
      </c>
    </row>
    <row r="6" spans="1:19" ht="12.75">
      <c r="A6">
        <v>1</v>
      </c>
      <c r="B6">
        <v>1</v>
      </c>
      <c r="C6">
        <v>0</v>
      </c>
      <c r="D6">
        <v>0</v>
      </c>
      <c r="E6">
        <f aca="true" t="shared" si="0" ref="E6:E14">B6^2+C6^2+D6^2</f>
        <v>1</v>
      </c>
      <c r="F6" s="4">
        <f>($C$2*SQRT(B6^2+C6^2+D6^2))/(2*$C$3)</f>
        <v>0.19275</v>
      </c>
      <c r="G6" s="4">
        <f aca="true" t="shared" si="1" ref="G6:G14">ASIN(F6)</f>
        <v>0.19396393296886028</v>
      </c>
      <c r="H6" s="4">
        <f aca="true" t="shared" si="2" ref="H6:H14">G6*180/PI()</f>
        <v>11.113314736874099</v>
      </c>
      <c r="I6" s="4">
        <f aca="true" t="shared" si="3" ref="I6:I14">H6*2</f>
        <v>22.226629473748197</v>
      </c>
      <c r="J6" s="4">
        <f aca="true" t="shared" si="4" ref="J6:J14">F6/($C$2*10)</f>
        <v>0.125</v>
      </c>
      <c r="K6" s="4">
        <f>56-41.78214*J6^2*((7.821*EXP(-117.657*J6^2)+6.004*EXP(-18.778*J6^2)+3.28*EXP(-3.263*J6^2)+1.103*EXP(-0.376*J6^2)))</f>
        <v>49.51403371600264</v>
      </c>
      <c r="L6" s="4">
        <f>22-41.78214*J6^2*(3.565*EXP(-81.982*J6^2)+2.818*EXP(-19.049*J6^2)+1.893*EXP(-3.59*J6^2)+0.483*EXP(-0.386*J6^2))</f>
        <v>18.505554815715</v>
      </c>
      <c r="M6" s="4">
        <f>8-41.78214*J6^2*(0.455*EXP(-23.78*J6^2)+0.917*EXP(-7.622*J6^2)+0.472*EXP(-2.144*J6^2)+0.138*EXP(-0.296*J6^2))</f>
        <v>6.876027785252599</v>
      </c>
      <c r="N6" s="4">
        <f>K6+L6*(-1)^(B6+C6+D6)+M6*((-1)^(B6+C6)+(-1)^(B6+D6)+(-1)^(C6+D6))</f>
        <v>24.132451115035042</v>
      </c>
      <c r="O6" s="11">
        <f>N6^2</f>
        <v>582.3751968195561</v>
      </c>
      <c r="P6" s="8">
        <v>6</v>
      </c>
      <c r="Q6" s="4">
        <f aca="true" t="shared" si="5" ref="Q6:Q14">(1+(COS(2*G6)^2))/((SIN(G6))^2*COS(G6))</f>
        <v>50.9358521660275</v>
      </c>
      <c r="R6" s="4">
        <f aca="true" t="shared" si="6" ref="R6:R14">O6*P6*Q6</f>
        <v>177982.66158217247</v>
      </c>
      <c r="S6" s="4"/>
    </row>
    <row r="7" spans="1:19" ht="12.75">
      <c r="A7">
        <v>2</v>
      </c>
      <c r="B7">
        <v>1</v>
      </c>
      <c r="C7">
        <v>1</v>
      </c>
      <c r="D7">
        <v>0</v>
      </c>
      <c r="E7">
        <f t="shared" si="0"/>
        <v>2</v>
      </c>
      <c r="F7" s="4">
        <f aca="true" t="shared" si="7" ref="F7:F14">($C$2*SQRT(B7^2+C7^2+D7^2))/(2*$C$3)</f>
        <v>0.2725896641474141</v>
      </c>
      <c r="G7" s="4">
        <f t="shared" si="1"/>
        <v>0.2760836029880918</v>
      </c>
      <c r="H7" s="4">
        <f t="shared" si="2"/>
        <v>15.818425243983066</v>
      </c>
      <c r="I7" s="4">
        <f t="shared" si="3"/>
        <v>31.636850487966132</v>
      </c>
      <c r="J7" s="4">
        <f t="shared" si="4"/>
        <v>0.1767766952966369</v>
      </c>
      <c r="K7" s="4">
        <f aca="true" t="shared" si="8" ref="K7:K14">56-41.78214*J7^2*((7.821*EXP(-117.657*J7^2)+6.004*EXP(-18.778*J7^2)+3.28*EXP(-3.263*J7^2)+1.103*EXP(-0.376*J7^2)))</f>
        <v>46.09129176147827</v>
      </c>
      <c r="L7" s="4">
        <f aca="true" t="shared" si="9" ref="L7:L14">22-41.78214*J7^2*(3.565*EXP(-81.982*J7^2)+2.818*EXP(-19.049*J7^2)+1.893*EXP(-3.59*J7^2)+0.483*EXP(-0.386*J7^2))</f>
        <v>16.77952859474072</v>
      </c>
      <c r="M7" s="4">
        <f aca="true" t="shared" si="10" ref="M7:M14">8-41.78214*J7^2*(0.455*EXP(-23.78*J7^2)+0.917*EXP(-7.622*J7^2)+0.472*EXP(-2.144*J7^2)+0.138*EXP(-0.296*J7^2))</f>
        <v>6.019007716488282</v>
      </c>
      <c r="N7" s="4">
        <f aca="true" t="shared" si="11" ref="N7:N14">K7+L7*(-1)^(B7+C7+D7)+M7*((-1)^(B7+C7)+(-1)^(B7+D7)+(-1)^(C7+D7))</f>
        <v>56.8518126397307</v>
      </c>
      <c r="O7" s="11">
        <f aca="true" t="shared" si="12" ref="O7:O14">N7^2</f>
        <v>3232.1286004230437</v>
      </c>
      <c r="P7" s="8">
        <v>12</v>
      </c>
      <c r="Q7" s="4">
        <f t="shared" si="5"/>
        <v>24.126942365455317</v>
      </c>
      <c r="R7" s="4">
        <f t="shared" si="6"/>
        <v>935776.5655217584</v>
      </c>
      <c r="S7" s="4"/>
    </row>
    <row r="8" spans="1:19" ht="12.75">
      <c r="A8">
        <v>3</v>
      </c>
      <c r="B8">
        <v>1</v>
      </c>
      <c r="C8">
        <v>1</v>
      </c>
      <c r="D8">
        <v>1</v>
      </c>
      <c r="E8">
        <f t="shared" si="0"/>
        <v>3</v>
      </c>
      <c r="F8" s="4">
        <f t="shared" si="7"/>
        <v>0.3338527931589011</v>
      </c>
      <c r="G8" s="4">
        <f t="shared" si="1"/>
        <v>0.340387933504091</v>
      </c>
      <c r="H8" s="4">
        <f t="shared" si="2"/>
        <v>19.502791986964127</v>
      </c>
      <c r="I8" s="4">
        <f t="shared" si="3"/>
        <v>39.00558397392825</v>
      </c>
      <c r="J8" s="4">
        <f t="shared" si="4"/>
        <v>0.21650635094610965</v>
      </c>
      <c r="K8" s="4">
        <f t="shared" si="8"/>
        <v>43.426538543728746</v>
      </c>
      <c r="L8" s="4">
        <f t="shared" si="9"/>
        <v>15.528211568535442</v>
      </c>
      <c r="M8" s="4">
        <f t="shared" si="10"/>
        <v>5.348673973182537</v>
      </c>
      <c r="N8" s="4">
        <f t="shared" si="11"/>
        <v>43.94434889474092</v>
      </c>
      <c r="O8" s="11">
        <f t="shared" si="12"/>
        <v>1931.1057997827174</v>
      </c>
      <c r="P8" s="8">
        <v>8</v>
      </c>
      <c r="Q8" s="4">
        <f t="shared" si="5"/>
        <v>15.265727667184702</v>
      </c>
      <c r="R8" s="4">
        <f t="shared" si="6"/>
        <v>235837.88188803097</v>
      </c>
      <c r="S8" s="4"/>
    </row>
    <row r="9" spans="1:19" ht="12.75">
      <c r="A9">
        <v>4</v>
      </c>
      <c r="B9">
        <v>2</v>
      </c>
      <c r="C9">
        <v>0</v>
      </c>
      <c r="D9">
        <v>0</v>
      </c>
      <c r="E9">
        <f t="shared" si="0"/>
        <v>4</v>
      </c>
      <c r="F9" s="4">
        <f t="shared" si="7"/>
        <v>0.3855</v>
      </c>
      <c r="G9" s="4">
        <f t="shared" si="1"/>
        <v>0.39574964459026707</v>
      </c>
      <c r="H9" s="4">
        <f t="shared" si="2"/>
        <v>22.674784378824636</v>
      </c>
      <c r="I9" s="4">
        <f t="shared" si="3"/>
        <v>45.34956875764927</v>
      </c>
      <c r="J9" s="4">
        <f t="shared" si="4"/>
        <v>0.25</v>
      </c>
      <c r="K9" s="4">
        <f t="shared" si="8"/>
        <v>41.3397604326385</v>
      </c>
      <c r="L9" s="4">
        <f t="shared" si="9"/>
        <v>14.526066013183655</v>
      </c>
      <c r="M9" s="4">
        <f t="shared" si="10"/>
        <v>4.812305219160574</v>
      </c>
      <c r="N9" s="4">
        <f t="shared" si="11"/>
        <v>70.30274210330387</v>
      </c>
      <c r="O9" s="11">
        <f t="shared" si="12"/>
        <v>4942.475547243655</v>
      </c>
      <c r="P9" s="8">
        <v>6</v>
      </c>
      <c r="Q9" s="4">
        <f t="shared" si="5"/>
        <v>10.894524266217008</v>
      </c>
      <c r="R9" s="4">
        <f t="shared" si="6"/>
        <v>323075.51870778104</v>
      </c>
      <c r="S9" s="4"/>
    </row>
    <row r="10" spans="1:18" ht="12.75">
      <c r="A10">
        <v>5</v>
      </c>
      <c r="B10">
        <v>2</v>
      </c>
      <c r="C10">
        <v>1</v>
      </c>
      <c r="D10">
        <v>0</v>
      </c>
      <c r="E10">
        <f t="shared" si="0"/>
        <v>5</v>
      </c>
      <c r="F10" s="4">
        <f t="shared" si="7"/>
        <v>0.4310021026630845</v>
      </c>
      <c r="G10" s="4">
        <f t="shared" si="1"/>
        <v>0.4456030292825131</v>
      </c>
      <c r="H10" s="4">
        <f t="shared" si="2"/>
        <v>25.531172916132437</v>
      </c>
      <c r="I10" s="4">
        <f t="shared" si="3"/>
        <v>51.062345832264874</v>
      </c>
      <c r="J10" s="4">
        <f t="shared" si="4"/>
        <v>0.2795084971874737</v>
      </c>
      <c r="K10" s="4">
        <f t="shared" si="8"/>
        <v>39.68417577850685</v>
      </c>
      <c r="L10" s="4">
        <f t="shared" si="9"/>
        <v>13.706188758444489</v>
      </c>
      <c r="M10" s="4">
        <f t="shared" si="10"/>
        <v>4.374798960471116</v>
      </c>
      <c r="N10" s="4">
        <f t="shared" si="11"/>
        <v>21.60318805959124</v>
      </c>
      <c r="O10" s="11">
        <f t="shared" si="12"/>
        <v>466.6977343380655</v>
      </c>
      <c r="P10" s="8">
        <v>24</v>
      </c>
      <c r="Q10" s="4">
        <f t="shared" si="5"/>
        <v>8.32211569472035</v>
      </c>
      <c r="R10" s="4">
        <f t="shared" si="6"/>
        <v>93213.90095100585</v>
      </c>
    </row>
    <row r="11" spans="1:18" ht="12.75">
      <c r="A11">
        <v>6</v>
      </c>
      <c r="B11">
        <v>2</v>
      </c>
      <c r="C11">
        <v>1</v>
      </c>
      <c r="D11">
        <v>1</v>
      </c>
      <c r="E11">
        <f t="shared" si="0"/>
        <v>6</v>
      </c>
      <c r="F11" s="4">
        <f t="shared" si="7"/>
        <v>0.4721391479214575</v>
      </c>
      <c r="G11" s="4">
        <f t="shared" si="1"/>
        <v>0.4917158527816632</v>
      </c>
      <c r="H11" s="4">
        <f t="shared" si="2"/>
        <v>28.173243084065422</v>
      </c>
      <c r="I11" s="4">
        <f t="shared" si="3"/>
        <v>56.346486168130845</v>
      </c>
      <c r="J11" s="4">
        <f t="shared" si="4"/>
        <v>0.3061862178478972</v>
      </c>
      <c r="K11" s="4">
        <f t="shared" si="8"/>
        <v>38.322224522094416</v>
      </c>
      <c r="L11" s="4">
        <f t="shared" si="9"/>
        <v>13.022276398795688</v>
      </c>
      <c r="M11" s="4">
        <f t="shared" si="10"/>
        <v>4.012341395441343</v>
      </c>
      <c r="N11" s="4">
        <f t="shared" si="11"/>
        <v>47.33215952544876</v>
      </c>
      <c r="O11" s="11">
        <f t="shared" si="12"/>
        <v>2240.33332534253</v>
      </c>
      <c r="P11" s="8">
        <v>24</v>
      </c>
      <c r="Q11" s="4">
        <f t="shared" si="5"/>
        <v>6.651748413746227</v>
      </c>
      <c r="R11" s="4">
        <f t="shared" si="6"/>
        <v>357651.20743463957</v>
      </c>
    </row>
    <row r="12" spans="1:18" ht="12.75">
      <c r="A12">
        <v>7</v>
      </c>
      <c r="B12">
        <v>2</v>
      </c>
      <c r="C12">
        <v>2</v>
      </c>
      <c r="D12">
        <v>0</v>
      </c>
      <c r="E12">
        <f t="shared" si="0"/>
        <v>8</v>
      </c>
      <c r="F12" s="4">
        <f t="shared" si="7"/>
        <v>0.5451793282948282</v>
      </c>
      <c r="G12" s="4">
        <f t="shared" si="1"/>
        <v>0.5766030138941772</v>
      </c>
      <c r="H12" s="4">
        <f t="shared" si="2"/>
        <v>33.03691915065952</v>
      </c>
      <c r="I12" s="4">
        <f t="shared" si="3"/>
        <v>66.07383830131904</v>
      </c>
      <c r="J12" s="4">
        <f t="shared" si="4"/>
        <v>0.3535533905932738</v>
      </c>
      <c r="K12" s="4">
        <f t="shared" si="8"/>
        <v>36.112023895588095</v>
      </c>
      <c r="L12" s="4">
        <f t="shared" si="9"/>
        <v>11.923041019172569</v>
      </c>
      <c r="M12" s="4">
        <f t="shared" si="10"/>
        <v>3.451094357641593</v>
      </c>
      <c r="N12" s="4">
        <f t="shared" si="11"/>
        <v>58.38834798768545</v>
      </c>
      <c r="O12" s="11">
        <f t="shared" si="12"/>
        <v>3409.1991807310515</v>
      </c>
      <c r="P12" s="8">
        <v>12</v>
      </c>
      <c r="Q12" s="4">
        <f t="shared" si="5"/>
        <v>4.673508355126084</v>
      </c>
      <c r="R12" s="4">
        <f t="shared" si="6"/>
        <v>191195.05026522683</v>
      </c>
    </row>
    <row r="13" spans="1:19" ht="12.75">
      <c r="A13">
        <v>8</v>
      </c>
      <c r="B13">
        <v>2</v>
      </c>
      <c r="C13">
        <v>2</v>
      </c>
      <c r="D13">
        <v>1</v>
      </c>
      <c r="E13">
        <f t="shared" si="0"/>
        <v>9</v>
      </c>
      <c r="F13" s="4">
        <f t="shared" si="7"/>
        <v>0.5782499999999999</v>
      </c>
      <c r="G13" s="4">
        <f t="shared" si="1"/>
        <v>0.6165820792347089</v>
      </c>
      <c r="H13" s="4">
        <f t="shared" si="2"/>
        <v>35.32755086354973</v>
      </c>
      <c r="I13" s="4">
        <f t="shared" si="3"/>
        <v>70.65510172709946</v>
      </c>
      <c r="J13" s="4">
        <f t="shared" si="4"/>
        <v>0.37499999999999994</v>
      </c>
      <c r="K13" s="4">
        <f t="shared" si="8"/>
        <v>35.15720197553101</v>
      </c>
      <c r="L13" s="4">
        <f t="shared" si="9"/>
        <v>11.461615496808717</v>
      </c>
      <c r="M13" s="4">
        <f t="shared" si="10"/>
        <v>3.231742192328065</v>
      </c>
      <c r="N13" s="4">
        <f t="shared" si="11"/>
        <v>20.463844286394227</v>
      </c>
      <c r="O13" s="11">
        <f t="shared" si="12"/>
        <v>418.76892297778966</v>
      </c>
      <c r="P13" s="8">
        <v>24</v>
      </c>
      <c r="Q13" s="4">
        <f t="shared" si="5"/>
        <v>4.067899909921133</v>
      </c>
      <c r="R13" s="4">
        <f t="shared" si="6"/>
        <v>40884.241537418886</v>
      </c>
      <c r="S13" s="4">
        <f>R13+R14</f>
        <v>51105.30192177361</v>
      </c>
    </row>
    <row r="14" spans="1:18" ht="12.75">
      <c r="A14">
        <v>9</v>
      </c>
      <c r="B14">
        <v>3</v>
      </c>
      <c r="C14">
        <v>0</v>
      </c>
      <c r="D14">
        <v>0</v>
      </c>
      <c r="E14">
        <f t="shared" si="0"/>
        <v>9</v>
      </c>
      <c r="F14" s="4">
        <f t="shared" si="7"/>
        <v>0.5782499999999999</v>
      </c>
      <c r="G14" s="4">
        <f t="shared" si="1"/>
        <v>0.6165820792347089</v>
      </c>
      <c r="H14" s="4">
        <f t="shared" si="2"/>
        <v>35.32755086354973</v>
      </c>
      <c r="I14" s="4">
        <f t="shared" si="3"/>
        <v>70.65510172709946</v>
      </c>
      <c r="J14" s="4">
        <f t="shared" si="4"/>
        <v>0.37499999999999994</v>
      </c>
      <c r="K14" s="4">
        <f t="shared" si="8"/>
        <v>35.15720197553101</v>
      </c>
      <c r="L14" s="4">
        <f t="shared" si="9"/>
        <v>11.461615496808717</v>
      </c>
      <c r="M14" s="4">
        <f t="shared" si="10"/>
        <v>3.231742192328065</v>
      </c>
      <c r="N14" s="4">
        <f t="shared" si="11"/>
        <v>20.463844286394227</v>
      </c>
      <c r="O14" s="11">
        <f t="shared" si="12"/>
        <v>418.76892297778966</v>
      </c>
      <c r="P14" s="8">
        <v>6</v>
      </c>
      <c r="Q14" s="4">
        <f t="shared" si="5"/>
        <v>4.067899909921133</v>
      </c>
      <c r="R14" s="4">
        <f t="shared" si="6"/>
        <v>10221.060384354721</v>
      </c>
    </row>
    <row r="15" spans="6:17" ht="12.75">
      <c r="F15" s="4"/>
      <c r="G15" s="4"/>
      <c r="H15" s="4"/>
      <c r="I15" s="4"/>
      <c r="J15" s="4"/>
      <c r="K15" s="4"/>
      <c r="L15" s="4"/>
      <c r="M15" s="4"/>
      <c r="Q15" s="4"/>
    </row>
    <row r="16" spans="6:18" ht="12.75">
      <c r="F16" s="4"/>
      <c r="G16" s="4"/>
      <c r="H16" s="4"/>
      <c r="I16" s="4"/>
      <c r="J16" s="4"/>
      <c r="K16" s="4"/>
      <c r="L16" s="4"/>
      <c r="M16" s="4"/>
      <c r="Q16" s="4"/>
      <c r="R16" s="4">
        <f>LARGE(R6:R14,1)</f>
        <v>935776.5655217584</v>
      </c>
    </row>
    <row r="18" spans="1:3" ht="15.75">
      <c r="A18" s="5" t="s">
        <v>16</v>
      </c>
      <c r="C18" s="9" t="s">
        <v>4</v>
      </c>
    </row>
    <row r="19" spans="1:4" ht="12.75">
      <c r="A19" s="4">
        <f>H6*2</f>
        <v>22.226629473748197</v>
      </c>
      <c r="D19" s="10">
        <f>(R6/$R$16)*100</f>
        <v>19.019781873137116</v>
      </c>
    </row>
    <row r="20" spans="1:4" ht="12.75">
      <c r="A20" s="4">
        <f aca="true" t="shared" si="13" ref="A20:A26">H7*2</f>
        <v>31.636850487966132</v>
      </c>
      <c r="D20" s="10">
        <f aca="true" t="shared" si="14" ref="D20:D25">(R7/$R$16)*100</f>
        <v>100</v>
      </c>
    </row>
    <row r="21" spans="1:4" ht="12.75">
      <c r="A21" s="4">
        <f t="shared" si="13"/>
        <v>39.00558397392825</v>
      </c>
      <c r="D21" s="10">
        <f t="shared" si="14"/>
        <v>25.202371012201557</v>
      </c>
    </row>
    <row r="22" spans="1:4" ht="12.75">
      <c r="A22" s="4">
        <f t="shared" si="13"/>
        <v>45.34956875764927</v>
      </c>
      <c r="D22" s="10">
        <f t="shared" si="14"/>
        <v>34.52485674586697</v>
      </c>
    </row>
    <row r="23" spans="1:4" ht="12.75">
      <c r="A23" s="4">
        <f t="shared" si="13"/>
        <v>51.062345832264874</v>
      </c>
      <c r="D23" s="10">
        <f t="shared" si="14"/>
        <v>9.961127942868801</v>
      </c>
    </row>
    <row r="24" spans="1:4" ht="12.75">
      <c r="A24" s="4">
        <f t="shared" si="13"/>
        <v>56.346486168130845</v>
      </c>
      <c r="D24" s="10">
        <f t="shared" si="14"/>
        <v>38.21972259320525</v>
      </c>
    </row>
    <row r="25" spans="1:4" ht="12.75">
      <c r="A25" s="4">
        <f t="shared" si="13"/>
        <v>66.07383830131904</v>
      </c>
      <c r="D25" s="10">
        <f t="shared" si="14"/>
        <v>20.43169890225053</v>
      </c>
    </row>
    <row r="26" spans="1:4" ht="12.75">
      <c r="A26" s="4">
        <f t="shared" si="13"/>
        <v>70.65510172709946</v>
      </c>
      <c r="D26" s="10">
        <f>(S13/$R$16)*100</f>
        <v>5.461271825425438</v>
      </c>
    </row>
    <row r="27" spans="1:4" ht="12.75">
      <c r="A27" s="4"/>
      <c r="D27" s="10"/>
    </row>
    <row r="28" spans="1:4" ht="12.75">
      <c r="A28" s="4"/>
      <c r="D28" s="10"/>
    </row>
  </sheetData>
  <sheetProtection/>
  <printOptions/>
  <pageMargins left="0.75" right="0.75" top="1" bottom="1" header="0.5" footer="0.5"/>
  <pageSetup fitToHeight="1" fitToWidth="1" orientation="landscape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Graeve</dc:creator>
  <cp:keywords/>
  <dc:description/>
  <cp:lastModifiedBy>Olivia Graeve</cp:lastModifiedBy>
  <cp:lastPrinted>2016-10-24T22:44:13Z</cp:lastPrinted>
  <dcterms:created xsi:type="dcterms:W3CDTF">2003-03-27T16:47:12Z</dcterms:created>
  <dcterms:modified xsi:type="dcterms:W3CDTF">2020-10-15T18:12:43Z</dcterms:modified>
  <cp:category/>
  <cp:version/>
  <cp:contentType/>
  <cp:contentStatus/>
</cp:coreProperties>
</file>