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oliviagraeve/Desktop/MAE 251 Fall 2022/Examinations/"/>
    </mc:Choice>
  </mc:AlternateContent>
  <xr:revisionPtr revIDLastSave="0" documentId="13_ncr:1_{ECFECB2E-E4F0-204A-9A1A-5BC7A428EB75}" xr6:coauthVersionLast="47" xr6:coauthVersionMax="47" xr10:uidLastSave="{00000000-0000-0000-0000-000000000000}"/>
  <bookViews>
    <workbookView xWindow="4980" yWindow="460" windowWidth="23520" windowHeight="16420" tabRatio="222" xr2:uid="{00000000-000D-0000-FFFF-FFFF00000000}"/>
  </bookViews>
  <sheets>
    <sheet name="Data" sheetId="1" r:id="rId1"/>
    <sheet name="XRD Patter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19" i="1"/>
  <c r="P8" i="1"/>
  <c r="P9" i="1"/>
  <c r="P10" i="1"/>
  <c r="P11" i="1"/>
  <c r="P12" i="1"/>
  <c r="P13" i="1"/>
  <c r="P14" i="1"/>
  <c r="P16" i="1"/>
  <c r="P7" i="1"/>
  <c r="O31" i="1"/>
  <c r="O7" i="1"/>
  <c r="K20" i="1"/>
  <c r="H20" i="1"/>
  <c r="G20" i="1"/>
  <c r="M20" i="1"/>
  <c r="N20" i="1"/>
  <c r="O20" i="1"/>
  <c r="K21" i="1"/>
  <c r="H21" i="1"/>
  <c r="G21" i="1"/>
  <c r="M21" i="1"/>
  <c r="N21" i="1"/>
  <c r="O21" i="1"/>
  <c r="K22" i="1"/>
  <c r="H22" i="1"/>
  <c r="G22" i="1"/>
  <c r="M22" i="1"/>
  <c r="N22" i="1"/>
  <c r="O22" i="1"/>
  <c r="K23" i="1"/>
  <c r="H23" i="1"/>
  <c r="G23" i="1"/>
  <c r="M23" i="1"/>
  <c r="N23" i="1"/>
  <c r="O23" i="1"/>
  <c r="K24" i="1"/>
  <c r="H24" i="1"/>
  <c r="G24" i="1"/>
  <c r="M24" i="1"/>
  <c r="N24" i="1"/>
  <c r="O24" i="1"/>
  <c r="K25" i="1"/>
  <c r="H25" i="1"/>
  <c r="G25" i="1"/>
  <c r="M25" i="1"/>
  <c r="N25" i="1"/>
  <c r="O25" i="1"/>
  <c r="K26" i="1"/>
  <c r="H26" i="1"/>
  <c r="G26" i="1"/>
  <c r="M26" i="1"/>
  <c r="N26" i="1"/>
  <c r="O26" i="1"/>
  <c r="K27" i="1"/>
  <c r="H27" i="1"/>
  <c r="G27" i="1"/>
  <c r="M27" i="1"/>
  <c r="N27" i="1"/>
  <c r="O27" i="1"/>
  <c r="K28" i="1"/>
  <c r="H28" i="1"/>
  <c r="G28" i="1"/>
  <c r="M28" i="1"/>
  <c r="N28" i="1"/>
  <c r="O28" i="1"/>
  <c r="K29" i="1"/>
  <c r="H29" i="1"/>
  <c r="G29" i="1"/>
  <c r="M29" i="1"/>
  <c r="N29" i="1"/>
  <c r="O29" i="1"/>
  <c r="K19" i="1"/>
  <c r="H19" i="1"/>
  <c r="G19" i="1"/>
  <c r="M19" i="1"/>
  <c r="N19" i="1"/>
  <c r="O19" i="1"/>
  <c r="K8" i="1"/>
  <c r="E8" i="1"/>
  <c r="F8" i="1"/>
  <c r="G8" i="1"/>
  <c r="M8" i="1"/>
  <c r="N8" i="1"/>
  <c r="O8" i="1"/>
  <c r="K9" i="1"/>
  <c r="E9" i="1"/>
  <c r="F9" i="1"/>
  <c r="G9" i="1"/>
  <c r="M9" i="1"/>
  <c r="N9" i="1"/>
  <c r="O9" i="1"/>
  <c r="K10" i="1"/>
  <c r="E10" i="1"/>
  <c r="F10" i="1"/>
  <c r="G10" i="1"/>
  <c r="M10" i="1"/>
  <c r="N10" i="1"/>
  <c r="O10" i="1"/>
  <c r="K11" i="1"/>
  <c r="E11" i="1"/>
  <c r="F11" i="1"/>
  <c r="G11" i="1"/>
  <c r="M11" i="1"/>
  <c r="N11" i="1"/>
  <c r="O11" i="1"/>
  <c r="K12" i="1"/>
  <c r="E12" i="1"/>
  <c r="F12" i="1"/>
  <c r="G12" i="1"/>
  <c r="M12" i="1"/>
  <c r="N12" i="1"/>
  <c r="O12" i="1"/>
  <c r="K13" i="1"/>
  <c r="E13" i="1"/>
  <c r="F13" i="1"/>
  <c r="G13" i="1"/>
  <c r="M13" i="1"/>
  <c r="N13" i="1"/>
  <c r="O13" i="1"/>
  <c r="K14" i="1"/>
  <c r="E14" i="1"/>
  <c r="F14" i="1"/>
  <c r="G14" i="1"/>
  <c r="M14" i="1"/>
  <c r="N14" i="1"/>
  <c r="O14" i="1"/>
  <c r="K16" i="1"/>
  <c r="E16" i="1"/>
  <c r="F16" i="1"/>
  <c r="G16" i="1"/>
  <c r="M16" i="1"/>
  <c r="N16" i="1"/>
  <c r="O16" i="1"/>
  <c r="K7" i="1"/>
  <c r="E7" i="1"/>
  <c r="F7" i="1"/>
  <c r="G7" i="1"/>
  <c r="M7" i="1"/>
  <c r="N7" i="1"/>
  <c r="K15" i="1"/>
  <c r="E15" i="1"/>
  <c r="F15" i="1"/>
  <c r="G15" i="1"/>
  <c r="M15" i="1"/>
  <c r="H16" i="1"/>
  <c r="I16" i="1"/>
  <c r="H15" i="1"/>
  <c r="I15" i="1"/>
  <c r="H14" i="1"/>
  <c r="I14" i="1"/>
  <c r="H8" i="1"/>
  <c r="I8" i="1"/>
  <c r="H9" i="1"/>
  <c r="I9" i="1"/>
  <c r="H10" i="1"/>
  <c r="I10" i="1"/>
  <c r="H11" i="1"/>
  <c r="I11" i="1"/>
  <c r="H12" i="1"/>
  <c r="I12" i="1"/>
  <c r="H13" i="1"/>
  <c r="I13" i="1"/>
  <c r="H7" i="1"/>
  <c r="I7" i="1"/>
</calcChain>
</file>

<file path=xl/sharedStrings.xml><?xml version="1.0" encoding="utf-8"?>
<sst xmlns="http://schemas.openxmlformats.org/spreadsheetml/2006/main" count="26" uniqueCount="24">
  <si>
    <t>nm</t>
  </si>
  <si>
    <t>Line</t>
  </si>
  <si>
    <t>p</t>
  </si>
  <si>
    <t>Intensity</t>
  </si>
  <si>
    <t>Normalized Intensity</t>
  </si>
  <si>
    <t>h</t>
  </si>
  <si>
    <t>k</t>
  </si>
  <si>
    <t>l</t>
  </si>
  <si>
    <t>Lattice parameter =</t>
  </si>
  <si>
    <r>
      <t xml:space="preserve">sin </t>
    </r>
    <r>
      <rPr>
        <sz val="12"/>
        <rFont val="Symbol"/>
        <charset val="2"/>
      </rPr>
      <t>q</t>
    </r>
  </si>
  <si>
    <t>F</t>
  </si>
  <si>
    <r>
      <t>h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k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>2</t>
    </r>
  </si>
  <si>
    <r>
      <t>F</t>
    </r>
    <r>
      <rPr>
        <vertAlign val="superscript"/>
        <sz val="12"/>
        <rFont val="Times New Roman"/>
        <family val="1"/>
      </rPr>
      <t>2</t>
    </r>
  </si>
  <si>
    <r>
      <t>Cu K</t>
    </r>
    <r>
      <rPr>
        <sz val="12"/>
        <rFont val="Symbol"/>
        <charset val="2"/>
      </rPr>
      <t>a</t>
    </r>
    <r>
      <rPr>
        <sz val="12"/>
        <rFont val="Times New Roman"/>
        <family val="1"/>
      </rPr>
      <t xml:space="preserve"> radiation =</t>
    </r>
  </si>
  <si>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(rad)</t>
    </r>
  </si>
  <si>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(deg)</t>
    </r>
  </si>
  <si>
    <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(deg)</t>
    </r>
  </si>
  <si>
    <r>
      <t>Theoretical X-Ray Diffraction Pattern for Cu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Mg + Mg</t>
    </r>
  </si>
  <si>
    <r>
      <t>Cu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Mg</t>
    </r>
  </si>
  <si>
    <t>Mg</t>
  </si>
  <si>
    <r>
      <t>(1 + cos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>)/(sin</t>
    </r>
    <r>
      <rPr>
        <vertAlign val="superscript"/>
        <sz val="12"/>
        <rFont val="Times New Roman"/>
        <family val="1"/>
      </rPr>
      <t>2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 xml:space="preserve"> cos</t>
    </r>
    <r>
      <rPr>
        <sz val="12"/>
        <rFont val="Symbol"/>
        <charset val="2"/>
      </rPr>
      <t>q</t>
    </r>
    <r>
      <rPr>
        <sz val="12"/>
        <rFont val="Times New Roman"/>
        <family val="1"/>
      </rPr>
      <t>)</t>
    </r>
  </si>
  <si>
    <t>Weighted Intensity</t>
  </si>
  <si>
    <t>Volume frac. =</t>
  </si>
  <si>
    <t>Max. Intensity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</si>
</sst>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0"/>
      <name val="Verdana"/>
    </font>
    <font>
      <sz val="12"/>
      <name val="Symbol"/>
      <charset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  <charset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name val="Verdana"/>
      <family val="2"/>
    </font>
    <font>
      <sz val="14"/>
      <name val="Times New Roman"/>
      <family val="1"/>
    </font>
    <font>
      <sz val="1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NumberFormat="1" applyFont="1"/>
    <xf numFmtId="164" fontId="2" fillId="0" borderId="0" xfId="0" applyNumberFormat="1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2579560648989"/>
          <c:y val="0.19696738752981896"/>
          <c:w val="0.48514276767576309"/>
          <c:h val="0.33611877389382494"/>
        </c:manualLayout>
      </c:layout>
      <c:scatterChart>
        <c:scatterStyle val="lineMarker"/>
        <c:varyColors val="0"/>
        <c:ser>
          <c:idx val="0"/>
          <c:order val="0"/>
          <c:tx>
            <c:v>Cu2Mg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Data!$I$7:$I$16</c:f>
              <c:numCache>
                <c:formatCode>0.0000</c:formatCode>
                <c:ptCount val="10"/>
                <c:pt idx="0">
                  <c:v>21.844151926581482</c:v>
                </c:pt>
                <c:pt idx="1">
                  <c:v>36.047281253057228</c:v>
                </c:pt>
                <c:pt idx="2">
                  <c:v>42.546309581725957</c:v>
                </c:pt>
                <c:pt idx="3">
                  <c:v>44.537013649137712</c:v>
                </c:pt>
                <c:pt idx="4">
                  <c:v>51.898000199451992</c:v>
                </c:pt>
                <c:pt idx="5">
                  <c:v>56.957381331331625</c:v>
                </c:pt>
                <c:pt idx="6">
                  <c:v>64.811668465836433</c:v>
                </c:pt>
                <c:pt idx="7">
                  <c:v>69.280426688989834</c:v>
                </c:pt>
                <c:pt idx="8">
                  <c:v>69.280426688989834</c:v>
                </c:pt>
                <c:pt idx="9">
                  <c:v>76.45985070300614</c:v>
                </c:pt>
              </c:numCache>
            </c:numRef>
          </c:xVal>
          <c:yVal>
            <c:numRef>
              <c:f>Data!$P$7:$P$16</c:f>
              <c:numCache>
                <c:formatCode>General</c:formatCode>
                <c:ptCount val="10"/>
                <c:pt idx="0">
                  <c:v>64.751551230086662</c:v>
                </c:pt>
                <c:pt idx="1">
                  <c:v>8.5990072617564852</c:v>
                </c:pt>
                <c:pt idx="2">
                  <c:v>100</c:v>
                </c:pt>
                <c:pt idx="3">
                  <c:v>68.325379875016694</c:v>
                </c:pt>
                <c:pt idx="4">
                  <c:v>18.671447140697172</c:v>
                </c:pt>
                <c:pt idx="5">
                  <c:v>10.373630378227537</c:v>
                </c:pt>
                <c:pt idx="6">
                  <c:v>2.4419442711312933</c:v>
                </c:pt>
                <c:pt idx="7">
                  <c:v>22.879106534166311</c:v>
                </c:pt>
                <c:pt idx="9">
                  <c:v>20.443147492562055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6E-694B-BFE9-33E5BCD2298F}"/>
            </c:ext>
          </c:extLst>
        </c:ser>
        <c:ser>
          <c:idx val="1"/>
          <c:order val="1"/>
          <c:tx>
            <c:v>Mg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Data!$I$19:$I$29</c:f>
              <c:numCache>
                <c:formatCode>0.0000</c:formatCode>
                <c:ptCount val="11"/>
                <c:pt idx="0">
                  <c:v>32.183599999999998</c:v>
                </c:pt>
                <c:pt idx="1">
                  <c:v>34.398899999999998</c:v>
                </c:pt>
                <c:pt idx="2">
                  <c:v>36.618299999999998</c:v>
                </c:pt>
                <c:pt idx="3">
                  <c:v>47.819400000000002</c:v>
                </c:pt>
                <c:pt idx="4">
                  <c:v>57.381900000000002</c:v>
                </c:pt>
                <c:pt idx="5">
                  <c:v>63.0717</c:v>
                </c:pt>
                <c:pt idx="6">
                  <c:v>67.332499999999996</c:v>
                </c:pt>
                <c:pt idx="7">
                  <c:v>68.644099999999995</c:v>
                </c:pt>
                <c:pt idx="8">
                  <c:v>70.021799999999999</c:v>
                </c:pt>
                <c:pt idx="9">
                  <c:v>72.512600000000006</c:v>
                </c:pt>
                <c:pt idx="10">
                  <c:v>77.847999999999999</c:v>
                </c:pt>
              </c:numCache>
            </c:numRef>
          </c:xVal>
          <c:yVal>
            <c:numRef>
              <c:f>Data!$P$19:$P$29</c:f>
              <c:numCache>
                <c:formatCode>General</c:formatCode>
                <c:ptCount val="11"/>
                <c:pt idx="0">
                  <c:v>3.4259455322105975E-2</c:v>
                </c:pt>
                <c:pt idx="1">
                  <c:v>3.770641063478878E-2</c:v>
                </c:pt>
                <c:pt idx="2">
                  <c:v>0.141193014159011</c:v>
                </c:pt>
                <c:pt idx="3">
                  <c:v>2.0425363510809331E-2</c:v>
                </c:pt>
                <c:pt idx="4">
                  <c:v>2.1805812321651432E-2</c:v>
                </c:pt>
                <c:pt idx="5">
                  <c:v>2.3201990596016631E-2</c:v>
                </c:pt>
                <c:pt idx="6">
                  <c:v>3.0361900565856136E-3</c:v>
                </c:pt>
                <c:pt idx="7">
                  <c:v>2.2610485040673398E-2</c:v>
                </c:pt>
                <c:pt idx="8">
                  <c:v>1.5752215866357309E-2</c:v>
                </c:pt>
                <c:pt idx="9">
                  <c:v>3.0761058510798182E-3</c:v>
                </c:pt>
                <c:pt idx="10">
                  <c:v>3.565750660509754E-3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DA-8348-8DC1-BC764E76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006800"/>
        <c:axId val="1"/>
      </c:scatterChart>
      <c:valAx>
        <c:axId val="321006800"/>
        <c:scaling>
          <c:orientation val="minMax"/>
          <c:max val="8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sz="1200">
                    <a:latin typeface="Symbol" pitchFamily="2" charset="2"/>
                    <a:cs typeface="Times New Roman" panose="02020603050405020304" pitchFamily="18" charset="0"/>
                  </a:rPr>
                  <a:t>q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(degrees)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Helvetica Neue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Intensity (a.u.)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Helvetica Neue"/>
                <a:cs typeface="Times New Roman" panose="02020603050405020304" pitchFamily="18" charset="0"/>
              </a:defRPr>
            </a:pPr>
            <a:endParaRPr lang="en-US"/>
          </a:p>
        </c:txPr>
        <c:crossAx val="321006800"/>
        <c:crosses val="autoZero"/>
        <c:crossBetween val="midCat"/>
        <c:majorUnit val="20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226014697030516"/>
          <c:y val="0.21442604278240274"/>
          <c:w val="8.0051407647204809E-2"/>
          <c:h val="7.756100189763486E-2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4" workbookViewId="0" zoomToFit="1"/>
  </sheetViews>
  <pageMargins left="0.7" right="0.7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19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99B127-9483-9047-BF6F-33E32D9B9D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A30" sqref="A30"/>
    </sheetView>
  </sheetViews>
  <sheetFormatPr baseColWidth="10" defaultRowHeight="16" x14ac:dyDescent="0.2"/>
  <cols>
    <col min="1" max="1" width="9.5" style="4" customWidth="1"/>
    <col min="2" max="2" width="7.33203125" style="4" customWidth="1"/>
    <col min="3" max="3" width="7.6640625" style="4" customWidth="1"/>
    <col min="4" max="4" width="7.1640625" style="4" customWidth="1"/>
    <col min="5" max="5" width="16.5" style="4" customWidth="1"/>
    <col min="6" max="6" width="10.33203125" style="4" customWidth="1"/>
    <col min="7" max="7" width="9.6640625" style="4" customWidth="1"/>
    <col min="8" max="8" width="10.5" style="4" customWidth="1"/>
    <col min="9" max="9" width="11" style="4" customWidth="1"/>
    <col min="10" max="10" width="10.33203125" style="4" customWidth="1"/>
    <col min="11" max="11" width="12.33203125" style="4" customWidth="1"/>
    <col min="12" max="12" width="6.6640625" style="4" customWidth="1"/>
    <col min="13" max="13" width="27.33203125" style="4" customWidth="1"/>
    <col min="14" max="14" width="14.83203125" style="5" customWidth="1"/>
    <col min="15" max="15" width="20.83203125" style="4" customWidth="1"/>
    <col min="16" max="16" width="19" style="4" customWidth="1"/>
  </cols>
  <sheetData>
    <row r="1" spans="1:16" s="14" customFormat="1" ht="20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1"/>
      <c r="P1" s="11"/>
    </row>
    <row r="2" spans="1:16" s="14" customFormat="1" ht="18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1"/>
      <c r="P2" s="11"/>
    </row>
    <row r="3" spans="1:16" s="14" customFormat="1" ht="20" x14ac:dyDescent="0.25">
      <c r="A3" s="12" t="s">
        <v>18</v>
      </c>
      <c r="B3" s="12"/>
      <c r="C3" s="12"/>
      <c r="D3" s="12"/>
      <c r="E3" s="12" t="s">
        <v>22</v>
      </c>
      <c r="F3" s="12">
        <v>0.73140000000000005</v>
      </c>
      <c r="G3" s="12"/>
      <c r="H3" s="12"/>
      <c r="I3" s="12"/>
      <c r="J3" s="12"/>
      <c r="K3" s="12"/>
      <c r="L3" s="12"/>
      <c r="M3" s="12"/>
      <c r="N3" s="13"/>
      <c r="O3" s="11"/>
      <c r="P3" s="11"/>
    </row>
    <row r="4" spans="1:16" x14ac:dyDescent="0.2">
      <c r="A4" s="6" t="s">
        <v>13</v>
      </c>
      <c r="C4" s="4">
        <v>0.1542</v>
      </c>
      <c r="D4" s="4" t="s">
        <v>0</v>
      </c>
    </row>
    <row r="5" spans="1:16" x14ac:dyDescent="0.2">
      <c r="A5" s="4" t="s">
        <v>8</v>
      </c>
      <c r="C5" s="4">
        <v>0.70479999999999998</v>
      </c>
      <c r="D5" s="4" t="s">
        <v>0</v>
      </c>
    </row>
    <row r="6" spans="1:16" ht="35" customHeight="1" x14ac:dyDescent="0.2">
      <c r="A6" s="1" t="s">
        <v>1</v>
      </c>
      <c r="B6" s="2" t="s">
        <v>5</v>
      </c>
      <c r="C6" s="2" t="s">
        <v>6</v>
      </c>
      <c r="D6" s="2" t="s">
        <v>7</v>
      </c>
      <c r="E6" s="2" t="s">
        <v>11</v>
      </c>
      <c r="F6" s="1" t="s">
        <v>9</v>
      </c>
      <c r="G6" s="10" t="s">
        <v>14</v>
      </c>
      <c r="H6" s="10" t="s">
        <v>15</v>
      </c>
      <c r="I6" s="1" t="s">
        <v>16</v>
      </c>
      <c r="J6" s="2" t="s">
        <v>10</v>
      </c>
      <c r="K6" s="2" t="s">
        <v>12</v>
      </c>
      <c r="L6" s="2" t="s">
        <v>2</v>
      </c>
      <c r="M6" s="1" t="s">
        <v>20</v>
      </c>
      <c r="N6" s="3" t="s">
        <v>3</v>
      </c>
      <c r="O6" s="1" t="s">
        <v>21</v>
      </c>
      <c r="P6" s="1" t="s">
        <v>4</v>
      </c>
    </row>
    <row r="7" spans="1:16" x14ac:dyDescent="0.2">
      <c r="A7" s="4">
        <v>1</v>
      </c>
      <c r="B7" s="4">
        <v>1</v>
      </c>
      <c r="C7" s="4">
        <v>1</v>
      </c>
      <c r="D7" s="4">
        <v>1</v>
      </c>
      <c r="E7" s="4">
        <f>B7^2+C7^2+D7^2</f>
        <v>3</v>
      </c>
      <c r="F7" s="7">
        <f>SQRT(($C$4^2/(4*$C$5^2))*E7)</f>
        <v>0.18947377591311074</v>
      </c>
      <c r="G7" s="7">
        <f>ASIN(F7)</f>
        <v>0.19062618671235473</v>
      </c>
      <c r="H7" s="7">
        <f>G7*180/PI()</f>
        <v>10.922075963290741</v>
      </c>
      <c r="I7" s="7">
        <f>H7*2</f>
        <v>21.844151926581482</v>
      </c>
      <c r="J7" s="7">
        <v>134.767</v>
      </c>
      <c r="K7" s="7">
        <f>J7^2</f>
        <v>18162.144289</v>
      </c>
      <c r="L7" s="8">
        <v>8</v>
      </c>
      <c r="M7" s="7">
        <f t="shared" ref="M7:M16" si="0">(1+(COS(2*G7)^2))/((SIN(G7))^2*COS(G7))</f>
        <v>52.810036394076818</v>
      </c>
      <c r="N7" s="9">
        <f>K7*L7*M7</f>
        <v>7673148.0071725156</v>
      </c>
      <c r="O7" s="7">
        <f>N7*$F$3</f>
        <v>5612140.4524459783</v>
      </c>
      <c r="P7" s="4">
        <f>(O7/$O$31)*100</f>
        <v>64.751551230086662</v>
      </c>
    </row>
    <row r="8" spans="1:16" x14ac:dyDescent="0.2">
      <c r="A8" s="4">
        <v>2</v>
      </c>
      <c r="B8" s="4">
        <v>2</v>
      </c>
      <c r="C8" s="4">
        <v>2</v>
      </c>
      <c r="D8" s="4">
        <v>0</v>
      </c>
      <c r="E8" s="4">
        <f>B8^2+C8^2+D8^2</f>
        <v>8</v>
      </c>
      <c r="F8" s="7">
        <f t="shared" ref="F8:F16" si="1">SQRT(($C$4^2/(4*$C$5^2))*E8)</f>
        <v>0.30940938041704213</v>
      </c>
      <c r="G8" s="7">
        <f t="shared" ref="G8:G16" si="2">ASIN(F8)</f>
        <v>0.31457187212913795</v>
      </c>
      <c r="H8" s="7">
        <f t="shared" ref="H8:H16" si="3">G8*180/PI()</f>
        <v>18.023640626528614</v>
      </c>
      <c r="I8" s="7">
        <f t="shared" ref="I8:I16" si="4">H8*2</f>
        <v>36.047281253057228</v>
      </c>
      <c r="J8" s="7">
        <v>68.370900000000006</v>
      </c>
      <c r="K8" s="7">
        <f t="shared" ref="K8:K16" si="5">J8^2</f>
        <v>4674.5799668100008</v>
      </c>
      <c r="L8" s="8">
        <v>12</v>
      </c>
      <c r="M8" s="7">
        <f t="shared" si="0"/>
        <v>18.165521674491306</v>
      </c>
      <c r="N8" s="9">
        <f t="shared" ref="N8:N16" si="6">K8*L8*M8</f>
        <v>1018994.2044747591</v>
      </c>
      <c r="O8" s="7">
        <f t="shared" ref="O8:O16" si="7">N8*$F$3</f>
        <v>745292.3611528388</v>
      </c>
      <c r="P8" s="4">
        <f t="shared" ref="P8:P16" si="8">(O8/$O$31)*100</f>
        <v>8.5990072617564852</v>
      </c>
    </row>
    <row r="9" spans="1:16" x14ac:dyDescent="0.2">
      <c r="A9" s="4">
        <v>3</v>
      </c>
      <c r="B9" s="4">
        <v>3</v>
      </c>
      <c r="C9" s="4">
        <v>1</v>
      </c>
      <c r="D9" s="4">
        <v>1</v>
      </c>
      <c r="E9" s="4">
        <f t="shared" ref="E9:E16" si="9">B9^2+C9^2+D9^2</f>
        <v>11</v>
      </c>
      <c r="F9" s="7">
        <f t="shared" si="1"/>
        <v>0.36281465853632427</v>
      </c>
      <c r="G9" s="7">
        <f t="shared" si="2"/>
        <v>0.37128659338696468</v>
      </c>
      <c r="H9" s="7">
        <f t="shared" si="3"/>
        <v>21.273154790862979</v>
      </c>
      <c r="I9" s="7">
        <f t="shared" si="4"/>
        <v>42.546309581725957</v>
      </c>
      <c r="J9" s="7">
        <v>198.137</v>
      </c>
      <c r="K9" s="7">
        <f t="shared" si="5"/>
        <v>39258.270769000002</v>
      </c>
      <c r="L9" s="8">
        <v>24</v>
      </c>
      <c r="M9" s="7">
        <f t="shared" si="0"/>
        <v>12.577113798997106</v>
      </c>
      <c r="N9" s="9">
        <f t="shared" si="6"/>
        <v>11850137.736325312</v>
      </c>
      <c r="O9" s="7">
        <f t="shared" si="7"/>
        <v>8667190.7403483335</v>
      </c>
      <c r="P9" s="4">
        <f t="shared" si="8"/>
        <v>100</v>
      </c>
    </row>
    <row r="10" spans="1:16" x14ac:dyDescent="0.2">
      <c r="A10" s="4">
        <v>4</v>
      </c>
      <c r="B10" s="4">
        <v>2</v>
      </c>
      <c r="C10" s="4">
        <v>2</v>
      </c>
      <c r="D10" s="4">
        <v>2</v>
      </c>
      <c r="E10" s="4">
        <f t="shared" si="9"/>
        <v>12</v>
      </c>
      <c r="F10" s="7">
        <f t="shared" si="1"/>
        <v>0.37894755182622147</v>
      </c>
      <c r="G10" s="7">
        <f t="shared" si="2"/>
        <v>0.38865876359155382</v>
      </c>
      <c r="H10" s="7">
        <f t="shared" si="3"/>
        <v>22.268506824568856</v>
      </c>
      <c r="I10" s="7">
        <f t="shared" si="4"/>
        <v>44.537013649137712</v>
      </c>
      <c r="J10" s="7">
        <v>298.637</v>
      </c>
      <c r="K10" s="7">
        <f t="shared" si="5"/>
        <v>89184.057769000006</v>
      </c>
      <c r="L10" s="8">
        <v>8</v>
      </c>
      <c r="M10" s="7">
        <f t="shared" si="0"/>
        <v>11.348232838076994</v>
      </c>
      <c r="N10" s="9">
        <f t="shared" si="6"/>
        <v>8096651.6240569726</v>
      </c>
      <c r="O10" s="7">
        <f t="shared" si="7"/>
        <v>5921890.9978352701</v>
      </c>
      <c r="P10" s="4">
        <f t="shared" si="8"/>
        <v>68.325379875016694</v>
      </c>
    </row>
    <row r="11" spans="1:16" x14ac:dyDescent="0.2">
      <c r="A11" s="4">
        <v>5</v>
      </c>
      <c r="B11" s="4">
        <v>4</v>
      </c>
      <c r="C11" s="4">
        <v>0</v>
      </c>
      <c r="D11" s="4">
        <v>0</v>
      </c>
      <c r="E11" s="4">
        <f t="shared" si="9"/>
        <v>16</v>
      </c>
      <c r="F11" s="7">
        <f t="shared" si="1"/>
        <v>0.43757094211123726</v>
      </c>
      <c r="G11" s="7">
        <f t="shared" si="2"/>
        <v>0.45289548934055551</v>
      </c>
      <c r="H11" s="7">
        <f t="shared" si="3"/>
        <v>25.949000099725996</v>
      </c>
      <c r="I11" s="7">
        <f t="shared" si="4"/>
        <v>51.898000199451992</v>
      </c>
      <c r="J11" s="7">
        <v>214.43100000000001</v>
      </c>
      <c r="K11" s="7">
        <f t="shared" si="5"/>
        <v>45980.653761000001</v>
      </c>
      <c r="L11" s="8">
        <v>6</v>
      </c>
      <c r="M11" s="7">
        <f t="shared" si="0"/>
        <v>8.0200113981214987</v>
      </c>
      <c r="N11" s="9">
        <f t="shared" si="6"/>
        <v>2212592.2035377892</v>
      </c>
      <c r="O11" s="7">
        <f t="shared" si="7"/>
        <v>1618289.9376675391</v>
      </c>
      <c r="P11" s="4">
        <f t="shared" si="8"/>
        <v>18.671447140697172</v>
      </c>
    </row>
    <row r="12" spans="1:16" x14ac:dyDescent="0.2">
      <c r="A12" s="4">
        <v>6</v>
      </c>
      <c r="B12" s="4">
        <v>3</v>
      </c>
      <c r="C12" s="4">
        <v>3</v>
      </c>
      <c r="D12" s="4">
        <v>1</v>
      </c>
      <c r="E12" s="4">
        <f t="shared" si="9"/>
        <v>19</v>
      </c>
      <c r="F12" s="7">
        <f t="shared" si="1"/>
        <v>0.47683187932319232</v>
      </c>
      <c r="G12" s="7">
        <f t="shared" si="2"/>
        <v>0.49704691877284407</v>
      </c>
      <c r="H12" s="7">
        <f t="shared" si="3"/>
        <v>28.478690665665813</v>
      </c>
      <c r="I12" s="7">
        <f t="shared" si="4"/>
        <v>56.957381331331625</v>
      </c>
      <c r="J12" s="7">
        <v>88.829599999999999</v>
      </c>
      <c r="K12" s="7">
        <f t="shared" si="5"/>
        <v>7890.6978361599995</v>
      </c>
      <c r="L12" s="8">
        <v>24</v>
      </c>
      <c r="M12" s="7">
        <f t="shared" si="0"/>
        <v>6.4912377080045855</v>
      </c>
      <c r="N12" s="9">
        <f t="shared" si="6"/>
        <v>1229289.4880772475</v>
      </c>
      <c r="O12" s="7">
        <f t="shared" si="7"/>
        <v>899102.33157969895</v>
      </c>
      <c r="P12" s="4">
        <f t="shared" si="8"/>
        <v>10.373630378227537</v>
      </c>
    </row>
    <row r="13" spans="1:16" x14ac:dyDescent="0.2">
      <c r="A13" s="4">
        <v>7</v>
      </c>
      <c r="B13" s="4">
        <v>4</v>
      </c>
      <c r="C13" s="4">
        <v>2</v>
      </c>
      <c r="D13" s="4">
        <v>2</v>
      </c>
      <c r="E13" s="4">
        <f t="shared" si="9"/>
        <v>24</v>
      </c>
      <c r="F13" s="7">
        <f t="shared" si="1"/>
        <v>0.53591276722072378</v>
      </c>
      <c r="G13" s="7">
        <f t="shared" si="2"/>
        <v>0.56558850421991391</v>
      </c>
      <c r="H13" s="7">
        <f t="shared" si="3"/>
        <v>32.405834232918217</v>
      </c>
      <c r="I13" s="7">
        <f t="shared" si="4"/>
        <v>64.811668465836433</v>
      </c>
      <c r="J13" s="7">
        <v>49.752000000000002</v>
      </c>
      <c r="K13" s="7">
        <f t="shared" si="5"/>
        <v>2475.2615040000001</v>
      </c>
      <c r="L13" s="8">
        <v>24</v>
      </c>
      <c r="M13" s="7">
        <f t="shared" si="0"/>
        <v>4.8710974427304299</v>
      </c>
      <c r="N13" s="9">
        <f t="shared" si="6"/>
        <v>289373.75957336347</v>
      </c>
      <c r="O13" s="7">
        <f t="shared" si="7"/>
        <v>211647.96775195806</v>
      </c>
      <c r="P13" s="4">
        <f t="shared" si="8"/>
        <v>2.4419442711312933</v>
      </c>
    </row>
    <row r="14" spans="1:16" x14ac:dyDescent="0.2">
      <c r="A14" s="4">
        <v>8</v>
      </c>
      <c r="B14" s="4">
        <v>5</v>
      </c>
      <c r="C14" s="4">
        <v>1</v>
      </c>
      <c r="D14" s="4">
        <v>1</v>
      </c>
      <c r="E14" s="4">
        <f t="shared" si="9"/>
        <v>27</v>
      </c>
      <c r="F14" s="7">
        <f t="shared" si="1"/>
        <v>0.56842132773933218</v>
      </c>
      <c r="G14" s="7">
        <f t="shared" si="2"/>
        <v>0.60458577645471301</v>
      </c>
      <c r="H14" s="7">
        <f t="shared" si="3"/>
        <v>34.640213344494917</v>
      </c>
      <c r="I14" s="7">
        <f t="shared" si="4"/>
        <v>69.280426688989834</v>
      </c>
      <c r="J14" s="7">
        <v>141.48099999999999</v>
      </c>
      <c r="K14" s="7">
        <f t="shared" si="5"/>
        <v>20016.873360999998</v>
      </c>
      <c r="L14" s="8">
        <v>24</v>
      </c>
      <c r="M14" s="7">
        <f t="shared" si="0"/>
        <v>4.2326878245153994</v>
      </c>
      <c r="N14" s="9">
        <f>K14*L14*M14+677801.4093</f>
        <v>2711205.637139312</v>
      </c>
      <c r="O14" s="7">
        <f t="shared" si="7"/>
        <v>1982975.803003693</v>
      </c>
      <c r="P14" s="4">
        <f t="shared" si="8"/>
        <v>22.879106534166311</v>
      </c>
    </row>
    <row r="15" spans="1:16" x14ac:dyDescent="0.2">
      <c r="A15" s="4">
        <v>9</v>
      </c>
      <c r="B15" s="4">
        <v>3</v>
      </c>
      <c r="C15" s="4">
        <v>3</v>
      </c>
      <c r="D15" s="4">
        <v>3</v>
      </c>
      <c r="E15" s="4">
        <f t="shared" si="9"/>
        <v>27</v>
      </c>
      <c r="F15" s="7">
        <f t="shared" si="1"/>
        <v>0.56842132773933218</v>
      </c>
      <c r="G15" s="7">
        <f t="shared" si="2"/>
        <v>0.60458577645471301</v>
      </c>
      <c r="H15" s="7">
        <f t="shared" si="3"/>
        <v>34.640213344494917</v>
      </c>
      <c r="I15" s="7">
        <f t="shared" si="4"/>
        <v>69.280426688989834</v>
      </c>
      <c r="J15" s="7">
        <v>141.48099999999999</v>
      </c>
      <c r="K15" s="7">
        <f t="shared" si="5"/>
        <v>20016.873360999998</v>
      </c>
      <c r="L15" s="8">
        <v>8</v>
      </c>
      <c r="M15" s="7">
        <f t="shared" si="0"/>
        <v>4.2326878245153994</v>
      </c>
      <c r="N15" s="9"/>
      <c r="O15" s="7"/>
    </row>
    <row r="16" spans="1:16" x14ac:dyDescent="0.2">
      <c r="A16" s="4">
        <v>10</v>
      </c>
      <c r="B16" s="4">
        <v>4</v>
      </c>
      <c r="C16" s="4">
        <v>4</v>
      </c>
      <c r="D16" s="4">
        <v>0</v>
      </c>
      <c r="E16" s="4">
        <f t="shared" si="9"/>
        <v>32</v>
      </c>
      <c r="F16" s="7">
        <f t="shared" si="1"/>
        <v>0.61881876083408427</v>
      </c>
      <c r="G16" s="7">
        <f t="shared" si="2"/>
        <v>0.66723807017537906</v>
      </c>
      <c r="H16" s="7">
        <f t="shared" si="3"/>
        <v>38.22992535150307</v>
      </c>
      <c r="I16" s="7">
        <f t="shared" si="4"/>
        <v>76.45985070300614</v>
      </c>
      <c r="J16" s="7">
        <v>239.94</v>
      </c>
      <c r="K16" s="7">
        <f t="shared" si="5"/>
        <v>57571.203600000001</v>
      </c>
      <c r="L16" s="8">
        <v>12</v>
      </c>
      <c r="M16" s="7">
        <f t="shared" si="0"/>
        <v>3.5065868930185351</v>
      </c>
      <c r="N16" s="9">
        <f t="shared" si="6"/>
        <v>2422541.135508738</v>
      </c>
      <c r="O16" s="7">
        <f t="shared" si="7"/>
        <v>1771846.5865110911</v>
      </c>
      <c r="P16" s="4">
        <f t="shared" si="8"/>
        <v>20.443147492562055</v>
      </c>
    </row>
    <row r="17" spans="1:16" x14ac:dyDescent="0.2">
      <c r="M17" s="1"/>
      <c r="N17" s="9"/>
    </row>
    <row r="18" spans="1:16" s="18" customFormat="1" ht="18" x14ac:dyDescent="0.2">
      <c r="A18" s="12" t="s">
        <v>19</v>
      </c>
      <c r="B18" s="15"/>
      <c r="C18" s="15"/>
      <c r="D18" s="15"/>
      <c r="E18" s="12" t="s">
        <v>22</v>
      </c>
      <c r="F18" s="12">
        <v>0.26860000000000001</v>
      </c>
      <c r="G18" s="15"/>
      <c r="H18" s="15"/>
      <c r="I18" s="15"/>
      <c r="J18" s="15"/>
      <c r="K18" s="15"/>
      <c r="L18" s="15"/>
      <c r="M18" s="16"/>
      <c r="N18" s="17"/>
      <c r="O18" s="15"/>
      <c r="P18" s="4"/>
    </row>
    <row r="19" spans="1:16" x14ac:dyDescent="0.2">
      <c r="A19" s="4">
        <v>1</v>
      </c>
      <c r="B19" s="4">
        <v>1</v>
      </c>
      <c r="C19" s="4">
        <v>0</v>
      </c>
      <c r="D19" s="4">
        <v>0</v>
      </c>
      <c r="G19" s="7">
        <f>H19*PI()/180</f>
        <v>0.28085489257242352</v>
      </c>
      <c r="H19" s="7">
        <f>I19/2</f>
        <v>16.091799999999999</v>
      </c>
      <c r="I19" s="7">
        <v>32.183599999999998</v>
      </c>
      <c r="J19" s="7">
        <v>8.9018899999999999</v>
      </c>
      <c r="K19" s="7">
        <f t="shared" ref="K19:K29" si="10">J19^2</f>
        <v>79.243645572099993</v>
      </c>
      <c r="L19" s="4">
        <v>6</v>
      </c>
      <c r="M19" s="7">
        <f>(1+(COS(2*G19))^2)/((SIN(G19))^2*COS(G19))</f>
        <v>23.250757290665444</v>
      </c>
      <c r="N19" s="9">
        <f>K19*L19*M19</f>
        <v>11054.848620146475</v>
      </c>
      <c r="O19" s="4">
        <f>N19*$F$18</f>
        <v>2969.3323393713431</v>
      </c>
      <c r="P19" s="4">
        <f t="shared" ref="P19:P29" si="11">(O19/$O$31)*100</f>
        <v>3.4259455322105975E-2</v>
      </c>
    </row>
    <row r="20" spans="1:16" x14ac:dyDescent="0.2">
      <c r="A20" s="4">
        <v>2</v>
      </c>
      <c r="B20" s="4">
        <v>0</v>
      </c>
      <c r="C20" s="4">
        <v>0</v>
      </c>
      <c r="D20" s="4">
        <v>2</v>
      </c>
      <c r="G20" s="7">
        <f t="shared" ref="G20:G29" si="12">H20*PI()/180</f>
        <v>0.30018703203213865</v>
      </c>
      <c r="H20" s="7">
        <f t="shared" ref="H20:H29" si="13">I20/2</f>
        <v>17.199449999999999</v>
      </c>
      <c r="I20" s="7">
        <v>34.398899999999998</v>
      </c>
      <c r="J20" s="7">
        <v>17.3873</v>
      </c>
      <c r="K20" s="7">
        <f t="shared" si="10"/>
        <v>302.31820128999999</v>
      </c>
      <c r="L20" s="4">
        <v>2</v>
      </c>
      <c r="M20" s="7">
        <f t="shared" ref="M20:M29" si="14">(1+(COS(2*G20))^2)/((SIN(G20))^2*COS(G20))</f>
        <v>20.123024136246194</v>
      </c>
      <c r="N20" s="9">
        <f t="shared" ref="N20:N29" si="15">K20*L20*M20</f>
        <v>12167.11292277041</v>
      </c>
      <c r="O20" s="4">
        <f t="shared" ref="O20:O29" si="16">N20*$F$18</f>
        <v>3268.0865310561321</v>
      </c>
      <c r="P20" s="4">
        <f t="shared" si="11"/>
        <v>3.770641063478878E-2</v>
      </c>
    </row>
    <row r="21" spans="1:16" x14ac:dyDescent="0.2">
      <c r="A21" s="4">
        <v>3</v>
      </c>
      <c r="B21" s="4">
        <v>1</v>
      </c>
      <c r="C21" s="4">
        <v>0</v>
      </c>
      <c r="D21" s="4">
        <v>1</v>
      </c>
      <c r="G21" s="7">
        <f t="shared" si="12"/>
        <v>0.31955495074151974</v>
      </c>
      <c r="H21" s="7">
        <f t="shared" si="13"/>
        <v>18.309149999999999</v>
      </c>
      <c r="I21" s="7">
        <v>36.618299999999998</v>
      </c>
      <c r="J21" s="7">
        <v>14.708600000000001</v>
      </c>
      <c r="K21" s="7">
        <f t="shared" si="10"/>
        <v>216.34291396</v>
      </c>
      <c r="L21" s="4">
        <v>12</v>
      </c>
      <c r="M21" s="7">
        <f t="shared" si="14"/>
        <v>17.549374201463205</v>
      </c>
      <c r="N21" s="9">
        <f t="shared" si="15"/>
        <v>45560.193035027973</v>
      </c>
      <c r="O21" s="4">
        <f t="shared" si="16"/>
        <v>12237.467849208513</v>
      </c>
      <c r="P21" s="4">
        <f t="shared" si="11"/>
        <v>0.141193014159011</v>
      </c>
    </row>
    <row r="22" spans="1:16" x14ac:dyDescent="0.2">
      <c r="A22" s="4">
        <v>4</v>
      </c>
      <c r="B22" s="4">
        <v>1</v>
      </c>
      <c r="C22" s="4">
        <v>0</v>
      </c>
      <c r="D22" s="4">
        <v>2</v>
      </c>
      <c r="G22" s="7">
        <f t="shared" si="12"/>
        <v>0.41730298816408823</v>
      </c>
      <c r="H22" s="7">
        <f t="shared" si="13"/>
        <v>23.909700000000001</v>
      </c>
      <c r="I22" s="7">
        <v>47.819400000000002</v>
      </c>
      <c r="J22" s="7">
        <v>7.5397299999999996</v>
      </c>
      <c r="K22" s="7">
        <f t="shared" si="10"/>
        <v>56.847528472899995</v>
      </c>
      <c r="L22" s="4">
        <v>12</v>
      </c>
      <c r="M22" s="7">
        <f t="shared" si="14"/>
        <v>9.6616056317444787</v>
      </c>
      <c r="N22" s="9">
        <f t="shared" si="15"/>
        <v>6590.8608149343027</v>
      </c>
      <c r="O22" s="4">
        <f t="shared" si="16"/>
        <v>1770.3052148913537</v>
      </c>
      <c r="P22" s="4">
        <f t="shared" si="11"/>
        <v>2.0425363510809331E-2</v>
      </c>
    </row>
    <row r="23" spans="1:16" x14ac:dyDescent="0.2">
      <c r="A23" s="4">
        <v>5</v>
      </c>
      <c r="B23" s="4">
        <v>2</v>
      </c>
      <c r="C23" s="4">
        <v>-1</v>
      </c>
      <c r="D23" s="4">
        <v>0</v>
      </c>
      <c r="G23" s="7">
        <f t="shared" si="12"/>
        <v>0.50075154302506708</v>
      </c>
      <c r="H23" s="7">
        <f t="shared" si="13"/>
        <v>28.690950000000001</v>
      </c>
      <c r="I23" s="7">
        <v>57.381900000000002</v>
      </c>
      <c r="J23" s="7">
        <v>13.554399999999999</v>
      </c>
      <c r="K23" s="7">
        <f t="shared" si="10"/>
        <v>183.72175935999999</v>
      </c>
      <c r="L23" s="4">
        <v>6</v>
      </c>
      <c r="M23" s="7">
        <f t="shared" si="14"/>
        <v>6.3831164827976661</v>
      </c>
      <c r="N23" s="9">
        <f t="shared" si="15"/>
        <v>7036.3043425164142</v>
      </c>
      <c r="O23" s="4">
        <f t="shared" si="16"/>
        <v>1889.951346399909</v>
      </c>
      <c r="P23" s="4">
        <f t="shared" si="11"/>
        <v>2.1805812321651432E-2</v>
      </c>
    </row>
    <row r="24" spans="1:16" x14ac:dyDescent="0.2">
      <c r="A24" s="4">
        <v>6</v>
      </c>
      <c r="B24" s="4">
        <v>1</v>
      </c>
      <c r="C24" s="4">
        <v>0</v>
      </c>
      <c r="D24" s="4">
        <v>3</v>
      </c>
      <c r="G24" s="7">
        <f t="shared" si="12"/>
        <v>0.55040441491505376</v>
      </c>
      <c r="H24" s="7">
        <f t="shared" si="13"/>
        <v>31.53585</v>
      </c>
      <c r="I24" s="7">
        <v>63.0717</v>
      </c>
      <c r="J24" s="7">
        <v>10.9869</v>
      </c>
      <c r="K24" s="7">
        <f t="shared" si="10"/>
        <v>120.71197161000001</v>
      </c>
      <c r="L24" s="4">
        <v>12</v>
      </c>
      <c r="M24" s="7">
        <f t="shared" si="14"/>
        <v>5.1685176409397791</v>
      </c>
      <c r="N24" s="9">
        <f t="shared" si="15"/>
        <v>7486.8234568668822</v>
      </c>
      <c r="O24" s="4">
        <f t="shared" si="16"/>
        <v>2010.9607805144447</v>
      </c>
      <c r="P24" s="4">
        <f t="shared" si="11"/>
        <v>2.3201990596016631E-2</v>
      </c>
    </row>
    <row r="25" spans="1:16" x14ac:dyDescent="0.2">
      <c r="A25" s="4">
        <v>7</v>
      </c>
      <c r="B25" s="4">
        <v>2</v>
      </c>
      <c r="C25" s="4">
        <v>0</v>
      </c>
      <c r="D25" s="4">
        <v>0</v>
      </c>
      <c r="G25" s="7">
        <f t="shared" si="12"/>
        <v>0.58758690929954094</v>
      </c>
      <c r="H25" s="7">
        <f t="shared" si="13"/>
        <v>33.666249999999998</v>
      </c>
      <c r="I25" s="7">
        <v>67.332499999999996</v>
      </c>
      <c r="J25" s="7">
        <v>6.0301499999999999</v>
      </c>
      <c r="K25" s="7">
        <f t="shared" si="10"/>
        <v>36.362709022499999</v>
      </c>
      <c r="L25" s="4">
        <v>6</v>
      </c>
      <c r="M25" s="7">
        <f t="shared" si="14"/>
        <v>4.4904908777816628</v>
      </c>
      <c r="N25" s="9">
        <f t="shared" si="15"/>
        <v>979.7184789417912</v>
      </c>
      <c r="O25" s="4">
        <f t="shared" si="16"/>
        <v>263.15238344376513</v>
      </c>
      <c r="P25" s="4">
        <f t="shared" si="11"/>
        <v>3.0361900565856136E-3</v>
      </c>
    </row>
    <row r="26" spans="1:16" x14ac:dyDescent="0.2">
      <c r="A26" s="4">
        <v>8</v>
      </c>
      <c r="B26" s="4">
        <v>2</v>
      </c>
      <c r="C26" s="4">
        <v>-1</v>
      </c>
      <c r="D26" s="4">
        <v>2</v>
      </c>
      <c r="G26" s="7">
        <f t="shared" si="12"/>
        <v>0.59903277853411974</v>
      </c>
      <c r="H26" s="7">
        <f t="shared" si="13"/>
        <v>34.322049999999997</v>
      </c>
      <c r="I26" s="7">
        <v>68.644099999999995</v>
      </c>
      <c r="J26" s="7">
        <v>11.8721</v>
      </c>
      <c r="K26" s="7">
        <f t="shared" si="10"/>
        <v>140.94675841</v>
      </c>
      <c r="L26" s="4">
        <v>12</v>
      </c>
      <c r="M26" s="7">
        <f t="shared" si="14"/>
        <v>4.3136597557334131</v>
      </c>
      <c r="N26" s="9">
        <f t="shared" si="15"/>
        <v>7295.9563134515638</v>
      </c>
      <c r="O26" s="4">
        <f t="shared" si="16"/>
        <v>1959.69386579309</v>
      </c>
      <c r="P26" s="4">
        <f t="shared" si="11"/>
        <v>2.2610485040673398E-2</v>
      </c>
    </row>
    <row r="27" spans="1:16" x14ac:dyDescent="0.2">
      <c r="A27" s="4">
        <v>9</v>
      </c>
      <c r="B27" s="4">
        <v>2</v>
      </c>
      <c r="C27" s="4">
        <v>0</v>
      </c>
      <c r="D27" s="4">
        <v>1</v>
      </c>
      <c r="G27" s="7">
        <f t="shared" si="12"/>
        <v>0.61105547908648272</v>
      </c>
      <c r="H27" s="7">
        <f t="shared" si="13"/>
        <v>35.010899999999999</v>
      </c>
      <c r="I27" s="7">
        <v>70.021799999999999</v>
      </c>
      <c r="J27" s="7">
        <v>10.112399999999999</v>
      </c>
      <c r="K27" s="7">
        <f t="shared" si="10"/>
        <v>102.26063375999998</v>
      </c>
      <c r="L27" s="4">
        <v>12</v>
      </c>
      <c r="M27" s="7">
        <f t="shared" si="14"/>
        <v>4.1421352419284441</v>
      </c>
      <c r="N27" s="9">
        <f t="shared" si="15"/>
        <v>5082.9284995108028</v>
      </c>
      <c r="O27" s="4">
        <f t="shared" si="16"/>
        <v>1365.2745949686016</v>
      </c>
      <c r="P27" s="4">
        <f t="shared" si="11"/>
        <v>1.5752215866357309E-2</v>
      </c>
    </row>
    <row r="28" spans="1:16" x14ac:dyDescent="0.2">
      <c r="A28" s="4">
        <v>10</v>
      </c>
      <c r="B28" s="4">
        <v>0</v>
      </c>
      <c r="C28" s="4">
        <v>0</v>
      </c>
      <c r="D28" s="4">
        <v>4</v>
      </c>
      <c r="G28" s="7">
        <f t="shared" si="12"/>
        <v>0.63279180959082015</v>
      </c>
      <c r="H28" s="7">
        <f t="shared" si="13"/>
        <v>36.256300000000003</v>
      </c>
      <c r="I28" s="7">
        <v>72.512600000000006</v>
      </c>
      <c r="J28" s="7">
        <v>11.330500000000001</v>
      </c>
      <c r="K28" s="7">
        <f t="shared" si="10"/>
        <v>128.38023025000001</v>
      </c>
      <c r="L28" s="4">
        <v>2</v>
      </c>
      <c r="M28" s="7">
        <f t="shared" si="14"/>
        <v>3.8658542456420948</v>
      </c>
      <c r="N28" s="9">
        <f t="shared" si="15"/>
        <v>992.5985163369445</v>
      </c>
      <c r="O28" s="4">
        <f t="shared" si="16"/>
        <v>266.6119614881033</v>
      </c>
      <c r="P28" s="4">
        <f t="shared" si="11"/>
        <v>3.0761058510798182E-3</v>
      </c>
    </row>
    <row r="29" spans="1:16" x14ac:dyDescent="0.2">
      <c r="A29" s="4">
        <v>11</v>
      </c>
      <c r="B29" s="4">
        <v>2</v>
      </c>
      <c r="C29" s="4">
        <v>0</v>
      </c>
      <c r="D29" s="4">
        <v>2</v>
      </c>
      <c r="G29" s="7">
        <f t="shared" si="12"/>
        <v>0.6793519580462728</v>
      </c>
      <c r="H29" s="7">
        <f t="shared" si="13"/>
        <v>38.923999999999999</v>
      </c>
      <c r="I29" s="7">
        <v>77.847999999999999</v>
      </c>
      <c r="J29" s="7">
        <v>5.31006</v>
      </c>
      <c r="K29" s="7">
        <f t="shared" si="10"/>
        <v>28.196737203600001</v>
      </c>
      <c r="L29" s="4">
        <v>12</v>
      </c>
      <c r="M29" s="7">
        <f t="shared" si="14"/>
        <v>3.4005034087968036</v>
      </c>
      <c r="N29" s="9">
        <f t="shared" si="15"/>
        <v>1150.5972117334734</v>
      </c>
      <c r="O29" s="4">
        <f t="shared" si="16"/>
        <v>309.05041107161094</v>
      </c>
      <c r="P29" s="4">
        <f t="shared" si="11"/>
        <v>3.565750660509754E-3</v>
      </c>
    </row>
    <row r="31" spans="1:16" x14ac:dyDescent="0.2">
      <c r="M31" s="1"/>
      <c r="N31" s="5" t="s">
        <v>23</v>
      </c>
      <c r="O31" s="7">
        <f>MAX(O7:O29)</f>
        <v>8667190.7403483335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XRD Pattern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Graeve</dc:creator>
  <cp:lastModifiedBy>Olivia Graeve</cp:lastModifiedBy>
  <cp:lastPrinted>2022-10-31T01:54:23Z</cp:lastPrinted>
  <dcterms:created xsi:type="dcterms:W3CDTF">2003-03-27T16:47:12Z</dcterms:created>
  <dcterms:modified xsi:type="dcterms:W3CDTF">2022-10-31T04:38:06Z</dcterms:modified>
</cp:coreProperties>
</file>