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ate1904="1"/>
  <mc:AlternateContent xmlns:mc="http://schemas.openxmlformats.org/markup-compatibility/2006">
    <mc:Choice Requires="x15">
      <x15ac:absPath xmlns:x15ac="http://schemas.microsoft.com/office/spreadsheetml/2010/11/ac" url="/UCSD Courses/MAE 251/MAE 251 Fall 2020/Diffraction Patterns/"/>
    </mc:Choice>
  </mc:AlternateContent>
  <xr:revisionPtr revIDLastSave="0" documentId="13_ncr:1_{F347A5AD-9CE5-0842-9FDF-E700B21FD489}" xr6:coauthVersionLast="36" xr6:coauthVersionMax="36" xr10:uidLastSave="{00000000-0000-0000-0000-000000000000}"/>
  <bookViews>
    <workbookView xWindow="60" yWindow="460" windowWidth="28740" windowHeight="16420" tabRatio="222" xr2:uid="{00000000-000D-0000-FFFF-FFFF00000000}"/>
  </bookViews>
  <sheets>
    <sheet name="Data" sheetId="1" r:id="rId1"/>
    <sheet name="Diffraction Pattern" sheetId="2" r:id="rId2"/>
  </sheets>
  <calcPr calcId="181029" concurrentCalc="0"/>
</workbook>
</file>

<file path=xl/calcChain.xml><?xml version="1.0" encoding="utf-8"?>
<calcChain xmlns="http://schemas.openxmlformats.org/spreadsheetml/2006/main">
  <c r="E31" i="1" l="1"/>
  <c r="F31" i="1"/>
  <c r="G31" i="1"/>
  <c r="K31" i="1"/>
  <c r="L31" i="1"/>
  <c r="L38" i="1"/>
  <c r="M31" i="1"/>
  <c r="H31" i="1"/>
  <c r="O31" i="1"/>
  <c r="P31" i="1"/>
  <c r="E6" i="1"/>
  <c r="F6" i="1"/>
  <c r="G6" i="1"/>
  <c r="K6" i="1"/>
  <c r="L6" i="1"/>
  <c r="M6" i="1"/>
  <c r="H6" i="1"/>
  <c r="O6" i="1"/>
  <c r="P6" i="1"/>
  <c r="E7" i="1"/>
  <c r="F7" i="1"/>
  <c r="G7" i="1"/>
  <c r="K7" i="1"/>
  <c r="L7" i="1"/>
  <c r="M7" i="1"/>
  <c r="H7" i="1"/>
  <c r="O7" i="1"/>
  <c r="P7" i="1"/>
  <c r="P9" i="1"/>
  <c r="Q31" i="1"/>
  <c r="E32" i="1"/>
  <c r="F32" i="1"/>
  <c r="G32" i="1"/>
  <c r="K32" i="1"/>
  <c r="L32" i="1"/>
  <c r="L39" i="1"/>
  <c r="M32" i="1"/>
  <c r="H32" i="1"/>
  <c r="O32" i="1"/>
  <c r="P32" i="1"/>
  <c r="Q32" i="1"/>
  <c r="E33" i="1"/>
  <c r="F33" i="1"/>
  <c r="G33" i="1"/>
  <c r="K33" i="1"/>
  <c r="L33" i="1"/>
  <c r="L40" i="1"/>
  <c r="M33" i="1"/>
  <c r="H33" i="1"/>
  <c r="O33" i="1"/>
  <c r="P33" i="1"/>
  <c r="Q33" i="1"/>
  <c r="E34" i="1"/>
  <c r="F34" i="1"/>
  <c r="G34" i="1"/>
  <c r="K34" i="1"/>
  <c r="L34" i="1"/>
  <c r="L41" i="1"/>
  <c r="M34" i="1"/>
  <c r="H34" i="1"/>
  <c r="O34" i="1"/>
  <c r="P34" i="1"/>
  <c r="Q34" i="1"/>
  <c r="E30" i="1"/>
  <c r="F30" i="1"/>
  <c r="G30" i="1"/>
  <c r="K30" i="1"/>
  <c r="L30" i="1"/>
  <c r="L37" i="1"/>
  <c r="M30" i="1"/>
  <c r="H30" i="1"/>
  <c r="O30" i="1"/>
  <c r="P30" i="1"/>
  <c r="Q30" i="1"/>
  <c r="I31" i="1"/>
  <c r="J31" i="1"/>
  <c r="I32" i="1"/>
  <c r="J32" i="1"/>
  <c r="I33" i="1"/>
  <c r="J33" i="1"/>
  <c r="I34" i="1"/>
  <c r="J34" i="1"/>
  <c r="I30" i="1"/>
  <c r="J30" i="1"/>
  <c r="E14" i="1"/>
  <c r="F14" i="1"/>
  <c r="G14" i="1"/>
  <c r="K14" i="1"/>
  <c r="L14" i="1"/>
  <c r="L21" i="1"/>
  <c r="M14" i="1"/>
  <c r="H14" i="1"/>
  <c r="O14" i="1"/>
  <c r="P14" i="1"/>
  <c r="E15" i="1"/>
  <c r="F15" i="1"/>
  <c r="G15" i="1"/>
  <c r="K15" i="1"/>
  <c r="L15" i="1"/>
  <c r="L22" i="1"/>
  <c r="M15" i="1"/>
  <c r="H15" i="1"/>
  <c r="O15" i="1"/>
  <c r="P15" i="1"/>
  <c r="E16" i="1"/>
  <c r="F16" i="1"/>
  <c r="G16" i="1"/>
  <c r="K16" i="1"/>
  <c r="L16" i="1"/>
  <c r="L23" i="1"/>
  <c r="M16" i="1"/>
  <c r="H16" i="1"/>
  <c r="O16" i="1"/>
  <c r="P16" i="1"/>
  <c r="E17" i="1"/>
  <c r="F17" i="1"/>
  <c r="G17" i="1"/>
  <c r="K17" i="1"/>
  <c r="L17" i="1"/>
  <c r="L24" i="1"/>
  <c r="M17" i="1"/>
  <c r="H17" i="1"/>
  <c r="O17" i="1"/>
  <c r="P17" i="1"/>
  <c r="E18" i="1"/>
  <c r="F18" i="1"/>
  <c r="G18" i="1"/>
  <c r="K18" i="1"/>
  <c r="L18" i="1"/>
  <c r="L25" i="1"/>
  <c r="M18" i="1"/>
  <c r="H18" i="1"/>
  <c r="O18" i="1"/>
  <c r="P18" i="1"/>
  <c r="E13" i="1"/>
  <c r="F13" i="1"/>
  <c r="G13" i="1"/>
  <c r="K13" i="1"/>
  <c r="L13" i="1"/>
  <c r="L20" i="1"/>
  <c r="M13" i="1"/>
  <c r="H13" i="1"/>
  <c r="O13" i="1"/>
  <c r="P13" i="1"/>
  <c r="Q14" i="1"/>
  <c r="Q15" i="1"/>
  <c r="Q16" i="1"/>
  <c r="Q17" i="1"/>
  <c r="Q18" i="1"/>
  <c r="I18" i="1"/>
  <c r="J18" i="1"/>
  <c r="I17" i="1"/>
  <c r="J17" i="1"/>
  <c r="I16" i="1"/>
  <c r="J16" i="1"/>
  <c r="Q13" i="1"/>
  <c r="Q7" i="1"/>
  <c r="Q6" i="1"/>
  <c r="I14" i="1"/>
  <c r="J14" i="1"/>
  <c r="I15" i="1"/>
  <c r="J15" i="1"/>
  <c r="I13" i="1"/>
  <c r="J13" i="1"/>
  <c r="I7" i="1"/>
  <c r="J7" i="1"/>
  <c r="I6" i="1"/>
  <c r="J6" i="1"/>
</calcChain>
</file>

<file path=xl/sharedStrings.xml><?xml version="1.0" encoding="utf-8"?>
<sst xmlns="http://schemas.openxmlformats.org/spreadsheetml/2006/main" count="65" uniqueCount="27">
  <si>
    <t>nm</t>
  </si>
  <si>
    <t>Line</t>
  </si>
  <si>
    <t>p</t>
  </si>
  <si>
    <t>h</t>
  </si>
  <si>
    <t>k</t>
  </si>
  <si>
    <t>l</t>
  </si>
  <si>
    <t>Lattice parameter =</t>
  </si>
  <si>
    <r>
      <t>h</t>
    </r>
    <r>
      <rPr>
        <vertAlign val="superscript"/>
        <sz val="12"/>
        <rFont val="Arial"/>
        <family val="2"/>
      </rPr>
      <t>2</t>
    </r>
    <r>
      <rPr>
        <sz val="12"/>
        <rFont val="Arial"/>
      </rPr>
      <t xml:space="preserve"> + </t>
    </r>
    <r>
      <rPr>
        <i/>
        <sz val="12"/>
        <rFont val="Arial"/>
        <family val="2"/>
      </rPr>
      <t>k</t>
    </r>
    <r>
      <rPr>
        <vertAlign val="superscript"/>
        <sz val="12"/>
        <rFont val="Arial"/>
        <family val="2"/>
      </rPr>
      <t>2</t>
    </r>
    <r>
      <rPr>
        <sz val="12"/>
        <rFont val="Arial"/>
      </rPr>
      <t xml:space="preserve"> + </t>
    </r>
    <r>
      <rPr>
        <i/>
        <sz val="12"/>
        <rFont val="Arial"/>
        <family val="2"/>
      </rPr>
      <t>l</t>
    </r>
    <r>
      <rPr>
        <vertAlign val="superscript"/>
        <sz val="12"/>
        <rFont val="Arial"/>
        <family val="2"/>
      </rPr>
      <t>2</t>
    </r>
  </si>
  <si>
    <r>
      <t>f</t>
    </r>
    <r>
      <rPr>
        <i/>
        <vertAlign val="subscript"/>
        <sz val="12"/>
        <rFont val="Arial"/>
        <family val="2"/>
      </rPr>
      <t>Fe</t>
    </r>
  </si>
  <si>
    <r>
      <t>F</t>
    </r>
    <r>
      <rPr>
        <vertAlign val="superscript"/>
        <sz val="12"/>
        <rFont val="Arial"/>
        <family val="2"/>
      </rPr>
      <t>2</t>
    </r>
  </si>
  <si>
    <r>
      <t>Cu K</t>
    </r>
    <r>
      <rPr>
        <sz val="12"/>
        <rFont val="Symbol"/>
      </rPr>
      <t>a</t>
    </r>
    <r>
      <rPr>
        <sz val="12"/>
        <rFont val="Arial"/>
      </rPr>
      <t xml:space="preserve"> radiation =</t>
    </r>
  </si>
  <si>
    <r>
      <t xml:space="preserve">sin </t>
    </r>
    <r>
      <rPr>
        <sz val="12"/>
        <rFont val="Symbol"/>
      </rPr>
      <t>q</t>
    </r>
  </si>
  <si>
    <r>
      <rPr>
        <sz val="12"/>
        <rFont val="Symbol"/>
      </rPr>
      <t>q</t>
    </r>
    <r>
      <rPr>
        <sz val="12"/>
        <rFont val="Arial"/>
      </rPr>
      <t xml:space="preserve"> (rad)</t>
    </r>
  </si>
  <si>
    <r>
      <rPr>
        <sz val="12"/>
        <rFont val="Symbol"/>
      </rPr>
      <t>q</t>
    </r>
    <r>
      <rPr>
        <sz val="12"/>
        <rFont val="Arial"/>
      </rPr>
      <t xml:space="preserve"> (deg)</t>
    </r>
  </si>
  <si>
    <r>
      <t>2</t>
    </r>
    <r>
      <rPr>
        <sz val="12"/>
        <rFont val="Symbol"/>
      </rPr>
      <t>q</t>
    </r>
    <r>
      <rPr>
        <sz val="12"/>
        <rFont val="Arial"/>
      </rPr>
      <t xml:space="preserve"> (deg)</t>
    </r>
  </si>
  <si>
    <r>
      <t xml:space="preserve">sin </t>
    </r>
    <r>
      <rPr>
        <sz val="12"/>
        <rFont val="Symbol"/>
      </rPr>
      <t>q</t>
    </r>
    <r>
      <rPr>
        <sz val="12"/>
        <rFont val="Arial"/>
      </rPr>
      <t>/</t>
    </r>
    <r>
      <rPr>
        <sz val="12"/>
        <rFont val="Symbol"/>
      </rPr>
      <t>l</t>
    </r>
    <r>
      <rPr>
        <sz val="12"/>
        <rFont val="Arial"/>
      </rPr>
      <t xml:space="preserve"> (Å</t>
    </r>
    <r>
      <rPr>
        <vertAlign val="superscript"/>
        <sz val="12"/>
        <rFont val="Arial"/>
        <family val="2"/>
      </rPr>
      <t>-1</t>
    </r>
    <r>
      <rPr>
        <sz val="12"/>
        <rFont val="Arial"/>
      </rPr>
      <t>)</t>
    </r>
  </si>
  <si>
    <r>
      <t>(1 + cos</t>
    </r>
    <r>
      <rPr>
        <vertAlign val="superscript"/>
        <sz val="12"/>
        <rFont val="Arial"/>
        <family val="2"/>
      </rPr>
      <t>2</t>
    </r>
    <r>
      <rPr>
        <sz val="12"/>
        <rFont val="Arial"/>
      </rPr>
      <t>2</t>
    </r>
    <r>
      <rPr>
        <sz val="12"/>
        <rFont val="Symbol"/>
      </rPr>
      <t>q</t>
    </r>
    <r>
      <rPr>
        <sz val="12"/>
        <rFont val="Arial"/>
      </rPr>
      <t>) / (sin</t>
    </r>
    <r>
      <rPr>
        <vertAlign val="superscript"/>
        <sz val="12"/>
        <rFont val="Arial"/>
        <family val="2"/>
      </rPr>
      <t>2</t>
    </r>
    <r>
      <rPr>
        <sz val="12"/>
        <rFont val="Symbol"/>
      </rPr>
      <t>q</t>
    </r>
    <r>
      <rPr>
        <sz val="12"/>
        <rFont val="Arial"/>
      </rPr>
      <t xml:space="preserve"> cos</t>
    </r>
    <r>
      <rPr>
        <sz val="12"/>
        <rFont val="Symbol"/>
      </rPr>
      <t>q</t>
    </r>
    <r>
      <rPr>
        <sz val="12"/>
        <rFont val="Arial"/>
      </rPr>
      <t>)</t>
    </r>
  </si>
  <si>
    <t>Weighed (volume) Intensity</t>
  </si>
  <si>
    <t>Theoretical X-Ray Diffraction Pattern of FeTi</t>
  </si>
  <si>
    <r>
      <t>f</t>
    </r>
    <r>
      <rPr>
        <vertAlign val="subscript"/>
        <sz val="12"/>
        <rFont val="Arial"/>
        <family val="2"/>
      </rPr>
      <t>Fe</t>
    </r>
  </si>
  <si>
    <r>
      <t>f</t>
    </r>
    <r>
      <rPr>
        <vertAlign val="subscript"/>
        <sz val="12"/>
        <rFont val="Arial"/>
        <family val="2"/>
      </rPr>
      <t>Ti</t>
    </r>
  </si>
  <si>
    <t>Theoretical X-Ray Diffraction Pattern of Ferrite</t>
  </si>
  <si>
    <t>Normalized Intensity</t>
  </si>
  <si>
    <t>Maximum Intensity =</t>
  </si>
  <si>
    <r>
      <t>d</t>
    </r>
    <r>
      <rPr>
        <sz val="12"/>
        <rFont val="Arial"/>
      </rPr>
      <t xml:space="preserve"> (nm)</t>
    </r>
  </si>
  <si>
    <t>Theoretical X-Ray Diffraction Pattern of FeO</t>
  </si>
  <si>
    <r>
      <t>f</t>
    </r>
    <r>
      <rPr>
        <vertAlign val="subscript"/>
        <sz val="12"/>
        <rFont val="Arial"/>
        <family val="2"/>
      </rPr>
      <t>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</si>
</sst>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9" x14ac:knownFonts="1">
    <font>
      <sz val="10"/>
      <name val="Verdana"/>
    </font>
    <font>
      <sz val="12"/>
      <name val="Arial"/>
    </font>
    <font>
      <i/>
      <sz val="12"/>
      <name val="Arial"/>
      <family val="2"/>
    </font>
    <font>
      <vertAlign val="superscript"/>
      <sz val="12"/>
      <name val="Arial"/>
      <family val="2"/>
    </font>
    <font>
      <i/>
      <vertAlign val="subscript"/>
      <sz val="12"/>
      <name val="Arial"/>
      <family val="2"/>
    </font>
    <font>
      <b/>
      <sz val="12"/>
      <name val="Arial"/>
      <family val="2"/>
    </font>
    <font>
      <sz val="12"/>
      <name val="Symbol"/>
    </font>
    <font>
      <sz val="12"/>
      <name val="Arial"/>
    </font>
    <font>
      <vertAlign val="subscript"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/>
    <xf numFmtId="0" fontId="1" fillId="0" borderId="0" xfId="0" applyNumberFormat="1" applyFont="1"/>
    <xf numFmtId="0" fontId="5" fillId="0" borderId="0" xfId="0" applyFont="1"/>
    <xf numFmtId="0" fontId="7" fillId="0" borderId="0" xfId="0" applyFont="1" applyAlignment="1">
      <alignment horizontal="right"/>
    </xf>
    <xf numFmtId="2" fontId="1" fillId="0" borderId="0" xfId="0" applyNumberFormat="1" applyFont="1"/>
    <xf numFmtId="165" fontId="1" fillId="0" borderId="0" xfId="0" applyNumberFormat="1" applyFont="1"/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55061589916752"/>
          <c:y val="0.14997456972144005"/>
          <c:w val="0.45497630988319054"/>
          <c:h val="0.3132053993478181"/>
        </c:manualLayout>
      </c:layout>
      <c:scatterChart>
        <c:scatterStyle val="lineMarker"/>
        <c:varyColors val="0"/>
        <c:ser>
          <c:idx val="0"/>
          <c:order val="0"/>
          <c:tx>
            <c:v>Ferrite</c:v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C00000"/>
              </a:solidFill>
              <a:ln w="9525">
                <a:noFill/>
              </a:ln>
            </c:spPr>
          </c:marker>
          <c:xVal>
            <c:numRef>
              <c:f>Data!$J$6:$J$7</c:f>
              <c:numCache>
                <c:formatCode>0.0000</c:formatCode>
                <c:ptCount val="2"/>
                <c:pt idx="0">
                  <c:v>44.805038794742224</c:v>
                </c:pt>
                <c:pt idx="1">
                  <c:v>65.227424323090176</c:v>
                </c:pt>
              </c:numCache>
            </c:numRef>
          </c:xVal>
          <c:yVal>
            <c:numRef>
              <c:f>Data!$Q$6:$Q$7</c:f>
              <c:numCache>
                <c:formatCode>0.00</c:formatCode>
                <c:ptCount val="2"/>
                <c:pt idx="0">
                  <c:v>100</c:v>
                </c:pt>
                <c:pt idx="1">
                  <c:v>14.679555586028666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27F-4F40-807C-A597A0E39D81}"/>
            </c:ext>
          </c:extLst>
        </c:ser>
        <c:ser>
          <c:idx val="1"/>
          <c:order val="1"/>
          <c:tx>
            <c:v>FeTi</c:v>
          </c:tx>
          <c:spPr>
            <a:ln w="28575">
              <a:noFill/>
            </a:ln>
          </c:spPr>
          <c:marker>
            <c:symbol val="square"/>
            <c:size val="8"/>
            <c:spPr>
              <a:solidFill>
                <a:srgbClr val="17375E"/>
              </a:solidFill>
              <a:ln w="9525">
                <a:noFill/>
              </a:ln>
            </c:spPr>
          </c:marker>
          <c:xVal>
            <c:numRef>
              <c:f>Data!$J$13:$J$18</c:f>
              <c:numCache>
                <c:formatCode>0.0000</c:formatCode>
                <c:ptCount val="6"/>
                <c:pt idx="0">
                  <c:v>30.030078971263276</c:v>
                </c:pt>
                <c:pt idx="1">
                  <c:v>42.985557274512075</c:v>
                </c:pt>
                <c:pt idx="2">
                  <c:v>53.324061423936101</c:v>
                </c:pt>
                <c:pt idx="3">
                  <c:v>62.415829254768148</c:v>
                </c:pt>
                <c:pt idx="4">
                  <c:v>70.803195311512425</c:v>
                </c:pt>
                <c:pt idx="5">
                  <c:v>78.779998938697929</c:v>
                </c:pt>
              </c:numCache>
            </c:numRef>
          </c:xVal>
          <c:yVal>
            <c:numRef>
              <c:f>Data!$Q$13:$Q$18</c:f>
              <c:numCache>
                <c:formatCode>0.00</c:formatCode>
                <c:ptCount val="6"/>
                <c:pt idx="0">
                  <c:v>0.15655917240529613</c:v>
                </c:pt>
                <c:pt idx="1">
                  <c:v>9.4607219076293791</c:v>
                </c:pt>
                <c:pt idx="2">
                  <c:v>4.3802896229301232E-2</c:v>
                </c:pt>
                <c:pt idx="3">
                  <c:v>1.403869864909814</c:v>
                </c:pt>
                <c:pt idx="4">
                  <c:v>5.2458845291001678E-2</c:v>
                </c:pt>
                <c:pt idx="5">
                  <c:v>2.6844666670277202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27F-4F40-807C-A597A0E39D81}"/>
            </c:ext>
          </c:extLst>
        </c:ser>
        <c:ser>
          <c:idx val="2"/>
          <c:order val="2"/>
          <c:tx>
            <c:v>FeO</c:v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4F6228"/>
              </a:solidFill>
              <a:ln w="9525">
                <a:noFill/>
              </a:ln>
            </c:spPr>
          </c:marker>
          <c:xVal>
            <c:numRef>
              <c:f>Data!$J$30:$J$34</c:f>
              <c:numCache>
                <c:formatCode>0.0000</c:formatCode>
                <c:ptCount val="5"/>
                <c:pt idx="0">
                  <c:v>36.125210142175028</c:v>
                </c:pt>
                <c:pt idx="1">
                  <c:v>41.957518242244078</c:v>
                </c:pt>
                <c:pt idx="2">
                  <c:v>60.837942035384181</c:v>
                </c:pt>
                <c:pt idx="3">
                  <c:v>72.841740009508385</c:v>
                </c:pt>
                <c:pt idx="4">
                  <c:v>76.64862622295901</c:v>
                </c:pt>
              </c:numCache>
            </c:numRef>
          </c:xVal>
          <c:yVal>
            <c:numRef>
              <c:f>Data!$Q$30:$Q$34</c:f>
              <c:numCache>
                <c:formatCode>0.00</c:formatCode>
                <c:ptCount val="5"/>
                <c:pt idx="0">
                  <c:v>5.149875021622762</c:v>
                </c:pt>
                <c:pt idx="1">
                  <c:v>7.7039206455929747</c:v>
                </c:pt>
                <c:pt idx="2">
                  <c:v>4.4130027710271076</c:v>
                </c:pt>
                <c:pt idx="3">
                  <c:v>1.9594041448021091</c:v>
                </c:pt>
                <c:pt idx="4">
                  <c:v>1.3560232951884972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27F-4F40-807C-A597A0E39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3491999"/>
        <c:axId val="1"/>
      </c:scatterChart>
      <c:valAx>
        <c:axId val="683491999"/>
        <c:scaling>
          <c:orientation val="minMax"/>
          <c:max val="80"/>
          <c:min val="20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10"/>
      </c:valAx>
      <c:valAx>
        <c:axId val="1"/>
        <c:scaling>
          <c:orientation val="minMax"/>
          <c:max val="1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3491999"/>
        <c:crosses val="autoZero"/>
        <c:crossBetween val="midCat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23" workbookViewId="0"/>
  </sheetViews>
  <pageMargins left="0.7" right="0.7" top="0.75" bottom="0.75" header="0.3" footer="0.3"/>
  <pageSetup orientation="landscape" horizontalDpi="4294967292" verticalDpi="4294967292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3171" cy="628804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FF54AC-CC80-FB43-8476-5154588E675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1"/>
  <sheetViews>
    <sheetView tabSelected="1" zoomScale="150" zoomScaleNormal="100" workbookViewId="0">
      <selection activeCell="Q30" sqref="Q30:Q34"/>
    </sheetView>
  </sheetViews>
  <sheetFormatPr baseColWidth="10" defaultRowHeight="16" x14ac:dyDescent="0.2"/>
  <cols>
    <col min="1" max="1" width="9.5" style="4" customWidth="1"/>
    <col min="2" max="2" width="10" style="4" customWidth="1"/>
    <col min="3" max="3" width="9.6640625" style="4" customWidth="1"/>
    <col min="4" max="4" width="9.5" style="4" customWidth="1"/>
    <col min="5" max="5" width="13.5" style="4" customWidth="1"/>
    <col min="6" max="6" width="9.5" style="4" customWidth="1"/>
    <col min="7" max="7" width="10.5" style="4" customWidth="1"/>
    <col min="8" max="8" width="8.6640625" style="4" customWidth="1"/>
    <col min="9" max="9" width="9.5" style="4" customWidth="1"/>
    <col min="10" max="10" width="10.1640625" style="4" customWidth="1"/>
    <col min="11" max="11" width="12.83203125" style="4" customWidth="1"/>
    <col min="12" max="12" width="11" style="4" customWidth="1"/>
    <col min="13" max="13" width="12.6640625" style="4" customWidth="1"/>
    <col min="14" max="14" width="6.6640625" style="4" customWidth="1"/>
    <col min="15" max="15" width="22.6640625" style="4" customWidth="1"/>
    <col min="16" max="16" width="27.6640625" style="4" customWidth="1"/>
    <col min="17" max="17" width="19.5" style="4" customWidth="1"/>
  </cols>
  <sheetData>
    <row r="1" spans="1:17" x14ac:dyDescent="0.2">
      <c r="A1" s="4" t="s">
        <v>21</v>
      </c>
    </row>
    <row r="2" spans="1:17" x14ac:dyDescent="0.2">
      <c r="A2" s="3" t="s">
        <v>10</v>
      </c>
      <c r="C2" s="4">
        <v>0.1542</v>
      </c>
      <c r="D2" s="4" t="s">
        <v>0</v>
      </c>
      <c r="K2" s="9"/>
      <c r="P2" s="10"/>
    </row>
    <row r="3" spans="1:17" x14ac:dyDescent="0.2">
      <c r="A3" s="4" t="s">
        <v>6</v>
      </c>
      <c r="C3" s="4">
        <v>0.28610000000000002</v>
      </c>
      <c r="D3" s="4" t="s">
        <v>0</v>
      </c>
      <c r="K3" s="9"/>
      <c r="P3" s="10"/>
    </row>
    <row r="4" spans="1:17" x14ac:dyDescent="0.2">
      <c r="A4" s="1"/>
    </row>
    <row r="5" spans="1:17" ht="35" customHeight="1" x14ac:dyDescent="0.25">
      <c r="A5" s="1" t="s">
        <v>1</v>
      </c>
      <c r="B5" s="2" t="s">
        <v>3</v>
      </c>
      <c r="C5" s="2" t="s">
        <v>4</v>
      </c>
      <c r="D5" s="2" t="s">
        <v>5</v>
      </c>
      <c r="E5" s="2" t="s">
        <v>7</v>
      </c>
      <c r="F5" s="2" t="s">
        <v>24</v>
      </c>
      <c r="G5" s="1" t="s">
        <v>11</v>
      </c>
      <c r="H5" s="8" t="s">
        <v>12</v>
      </c>
      <c r="I5" s="8" t="s">
        <v>13</v>
      </c>
      <c r="J5" s="1" t="s">
        <v>14</v>
      </c>
      <c r="K5" s="1" t="s">
        <v>15</v>
      </c>
      <c r="L5" s="2" t="s">
        <v>8</v>
      </c>
      <c r="M5" s="2" t="s">
        <v>9</v>
      </c>
      <c r="N5" s="2" t="s">
        <v>2</v>
      </c>
      <c r="O5" s="1" t="s">
        <v>16</v>
      </c>
      <c r="P5" s="1" t="s">
        <v>17</v>
      </c>
      <c r="Q5" s="1" t="s">
        <v>22</v>
      </c>
    </row>
    <row r="6" spans="1:17" x14ac:dyDescent="0.2">
      <c r="A6" s="4">
        <v>1</v>
      </c>
      <c r="B6" s="4">
        <v>1</v>
      </c>
      <c r="C6" s="4">
        <v>1</v>
      </c>
      <c r="D6" s="4">
        <v>0</v>
      </c>
      <c r="E6" s="4">
        <f>B6^2+C6^2+D6^2</f>
        <v>2</v>
      </c>
      <c r="F6" s="5">
        <f>$C$3/SQRT(E6)</f>
        <v>0.20230325009747124</v>
      </c>
      <c r="G6" s="5">
        <f>C2/(2*F6)</f>
        <v>0.3811110299159931</v>
      </c>
      <c r="H6" s="5">
        <f>ASIN(G6)</f>
        <v>0.39099772422602175</v>
      </c>
      <c r="I6" s="5">
        <f>H6*180/PI()</f>
        <v>22.402519397371112</v>
      </c>
      <c r="J6" s="5">
        <f>I6*2</f>
        <v>44.805038794742224</v>
      </c>
      <c r="K6" s="5">
        <f>G6/($C$2*10)</f>
        <v>0.2471537158988282</v>
      </c>
      <c r="L6" s="5">
        <f>26-41.78214*K6^2*(2.544*EXP(-64.424*K6^2)+2.343*EXP(-14.88*K6^2)+1.759*EXP(-2.854*K6^2)+0.506*EXP(-0.35*K6^2))</f>
        <v>18.428210119270503</v>
      </c>
      <c r="M6" s="5">
        <f>4*L6^2</f>
        <v>1358.3957127999349</v>
      </c>
      <c r="N6" s="6">
        <v>12</v>
      </c>
      <c r="O6" s="5">
        <f>(1+(COS(2*H6)^2))/((SIN(H6))^2*COS(H6))</f>
        <v>11.195709426395608</v>
      </c>
      <c r="P6" s="11">
        <f>0.8905*M6*N6*O6</f>
        <v>162514.86459468288</v>
      </c>
      <c r="Q6" s="9">
        <f>(P6/$P$9)*100</f>
        <v>100</v>
      </c>
    </row>
    <row r="7" spans="1:17" x14ac:dyDescent="0.2">
      <c r="A7" s="4">
        <v>2</v>
      </c>
      <c r="B7" s="4">
        <v>2</v>
      </c>
      <c r="C7" s="4">
        <v>0</v>
      </c>
      <c r="D7" s="4">
        <v>0</v>
      </c>
      <c r="E7" s="4">
        <f>B7^2+C7^2+D7^2</f>
        <v>4</v>
      </c>
      <c r="F7" s="5">
        <f>$C$3/SQRT(E7)</f>
        <v>0.14305000000000001</v>
      </c>
      <c r="G7" s="5">
        <f>C2/(2*F7)</f>
        <v>0.53897238727717578</v>
      </c>
      <c r="H7" s="5">
        <f>ASIN(G7)</f>
        <v>0.56921665851667858</v>
      </c>
      <c r="I7" s="5">
        <f>H7*180/PI()</f>
        <v>32.613712161545088</v>
      </c>
      <c r="J7" s="5">
        <f>I7*2</f>
        <v>65.227424323090176</v>
      </c>
      <c r="K7" s="5">
        <f>G7/($C$2*10)</f>
        <v>0.34952813701502966</v>
      </c>
      <c r="L7" s="5">
        <f>26-41.78214*K7^2*(2.544*EXP(-64.424*K7^2)+2.343*EXP(-14.88*K7^2)+1.759*EXP(-2.854*K7^2)+0.506*EXP(-0.35*K7^2))</f>
        <v>15.242670968027955</v>
      </c>
      <c r="M7" s="5">
        <f>4*L7^2</f>
        <v>929.35607295824911</v>
      </c>
      <c r="N7" s="6">
        <v>6</v>
      </c>
      <c r="O7" s="5">
        <f>(1+(COS(2*H7)^2))/((SIN(H7))^2*COS(H7))</f>
        <v>4.8043947390372104</v>
      </c>
      <c r="P7" s="11">
        <f>0.8905*M7*N7*O7</f>
        <v>23856.459883735693</v>
      </c>
      <c r="Q7" s="9">
        <f>(P7/$P$9)*100</f>
        <v>14.679555586028666</v>
      </c>
    </row>
    <row r="9" spans="1:17" x14ac:dyDescent="0.2">
      <c r="A9" s="4" t="s">
        <v>18</v>
      </c>
      <c r="C9" s="3"/>
      <c r="O9" s="4" t="s">
        <v>23</v>
      </c>
      <c r="P9" s="11">
        <f>MAX(P6:P7)</f>
        <v>162514.86459468288</v>
      </c>
    </row>
    <row r="10" spans="1:17" x14ac:dyDescent="0.2">
      <c r="A10" s="4" t="s">
        <v>6</v>
      </c>
      <c r="C10" s="4">
        <v>0.29759999999999998</v>
      </c>
      <c r="D10" s="4" t="s">
        <v>0</v>
      </c>
    </row>
    <row r="11" spans="1:17" x14ac:dyDescent="0.2">
      <c r="A11" s="5"/>
      <c r="D11" s="7"/>
    </row>
    <row r="12" spans="1:17" ht="35" customHeight="1" x14ac:dyDescent="0.25">
      <c r="A12" s="1" t="s">
        <v>1</v>
      </c>
      <c r="B12" s="2" t="s">
        <v>3</v>
      </c>
      <c r="C12" s="2" t="s">
        <v>4</v>
      </c>
      <c r="D12" s="2" t="s">
        <v>5</v>
      </c>
      <c r="E12" s="2" t="s">
        <v>7</v>
      </c>
      <c r="F12" s="2" t="s">
        <v>24</v>
      </c>
      <c r="G12" s="1" t="s">
        <v>11</v>
      </c>
      <c r="H12" s="8" t="s">
        <v>12</v>
      </c>
      <c r="I12" s="8" t="s">
        <v>13</v>
      </c>
      <c r="J12" s="1" t="s">
        <v>14</v>
      </c>
      <c r="K12" s="1" t="s">
        <v>15</v>
      </c>
      <c r="L12" s="2" t="s">
        <v>19</v>
      </c>
      <c r="M12" s="2" t="s">
        <v>9</v>
      </c>
      <c r="N12" s="2" t="s">
        <v>2</v>
      </c>
      <c r="O12" s="1" t="s">
        <v>16</v>
      </c>
      <c r="P12" s="1" t="s">
        <v>17</v>
      </c>
      <c r="Q12" s="1" t="s">
        <v>22</v>
      </c>
    </row>
    <row r="13" spans="1:17" x14ac:dyDescent="0.2">
      <c r="A13" s="4">
        <v>1</v>
      </c>
      <c r="B13" s="4">
        <v>1</v>
      </c>
      <c r="C13" s="4">
        <v>0</v>
      </c>
      <c r="D13" s="4">
        <v>0</v>
      </c>
      <c r="E13" s="4">
        <f t="shared" ref="E13:E18" si="0">B13^2+C13^2+D13^2</f>
        <v>1</v>
      </c>
      <c r="F13" s="5">
        <f t="shared" ref="F13:F18" si="1">$C$10/SQRT(E13)</f>
        <v>0.29759999999999998</v>
      </c>
      <c r="G13" s="5">
        <f t="shared" ref="G13:G18" si="2">$C$2/(2*F13)</f>
        <v>0.25907258064516131</v>
      </c>
      <c r="H13" s="5">
        <f t="shared" ref="H13:H18" si="3">ASIN(G13)</f>
        <v>0.26206187634122791</v>
      </c>
      <c r="I13" s="5">
        <f t="shared" ref="I13:I18" si="4">H13*180/PI()</f>
        <v>15.015039485631638</v>
      </c>
      <c r="J13" s="5">
        <f t="shared" ref="J13:J18" si="5">I13*2</f>
        <v>30.030078971263276</v>
      </c>
      <c r="K13" s="5">
        <f t="shared" ref="K13:K18" si="6">G13/($C$2*10)</f>
        <v>0.16801075268817206</v>
      </c>
      <c r="L13" s="5">
        <f t="shared" ref="L13:L18" si="7">26-41.78214*K13^2*(2.544*EXP(-64.424*K13^2)+2.343*EXP(-14.88*K13^2)+1.759*EXP(-2.854*K13^2)+0.506*EXP(-0.35*K13^2))</f>
        <v>21.192615631961971</v>
      </c>
      <c r="M13" s="5">
        <f>(L13-L20)^2</f>
        <v>17.060496808606423</v>
      </c>
      <c r="N13" s="4">
        <v>6</v>
      </c>
      <c r="O13" s="5">
        <f t="shared" ref="O13:O18" si="8">(1+(COS(2*H13)^2))/((SIN(H13))^2*COS(H13))</f>
        <v>26.987897548773738</v>
      </c>
      <c r="P13" s="11">
        <f t="shared" ref="P13:P18" si="9">0.0921*M13*N13*O13</f>
        <v>254.43192704502312</v>
      </c>
      <c r="Q13" s="9">
        <f t="shared" ref="Q13:Q18" si="10">(P13/$P$9)*100</f>
        <v>0.15655917240529613</v>
      </c>
    </row>
    <row r="14" spans="1:17" x14ac:dyDescent="0.2">
      <c r="A14" s="4">
        <v>2</v>
      </c>
      <c r="B14" s="4">
        <v>1</v>
      </c>
      <c r="C14" s="4">
        <v>1</v>
      </c>
      <c r="D14" s="4">
        <v>0</v>
      </c>
      <c r="E14" s="4">
        <f t="shared" si="0"/>
        <v>2</v>
      </c>
      <c r="F14" s="5">
        <f t="shared" si="1"/>
        <v>0.21043497808111652</v>
      </c>
      <c r="G14" s="5">
        <f t="shared" si="2"/>
        <v>0.36638395718738453</v>
      </c>
      <c r="H14" s="5">
        <f t="shared" si="3"/>
        <v>0.37511975262241787</v>
      </c>
      <c r="I14" s="5">
        <f t="shared" si="4"/>
        <v>21.492778637256038</v>
      </c>
      <c r="J14" s="5">
        <f t="shared" si="5"/>
        <v>42.985557274512075</v>
      </c>
      <c r="K14" s="5">
        <f t="shared" si="6"/>
        <v>0.23760308507612485</v>
      </c>
      <c r="L14" s="5">
        <f t="shared" si="7"/>
        <v>18.754262617793319</v>
      </c>
      <c r="M14" s="5">
        <f>(L14+L21)^2</f>
        <v>1131.8888371970263</v>
      </c>
      <c r="N14" s="4">
        <v>12</v>
      </c>
      <c r="O14" s="5">
        <f t="shared" si="8"/>
        <v>12.290589510376542</v>
      </c>
      <c r="P14" s="11">
        <f t="shared" si="9"/>
        <v>15375.079397863385</v>
      </c>
      <c r="Q14" s="9">
        <f t="shared" si="10"/>
        <v>9.4607219076293791</v>
      </c>
    </row>
    <row r="15" spans="1:17" x14ac:dyDescent="0.2">
      <c r="A15" s="4">
        <v>3</v>
      </c>
      <c r="B15" s="4">
        <v>1</v>
      </c>
      <c r="C15" s="4">
        <v>1</v>
      </c>
      <c r="D15" s="4">
        <v>1</v>
      </c>
      <c r="E15" s="4">
        <f t="shared" si="0"/>
        <v>3</v>
      </c>
      <c r="F15" s="5">
        <f t="shared" si="1"/>
        <v>0.17181944011083261</v>
      </c>
      <c r="G15" s="5">
        <f t="shared" si="2"/>
        <v>0.44872687252540477</v>
      </c>
      <c r="H15" s="5">
        <f t="shared" si="3"/>
        <v>0.46534022119169038</v>
      </c>
      <c r="I15" s="5">
        <f t="shared" si="4"/>
        <v>26.66203071196805</v>
      </c>
      <c r="J15" s="5">
        <f t="shared" si="5"/>
        <v>53.324061423936101</v>
      </c>
      <c r="K15" s="5">
        <f t="shared" si="6"/>
        <v>0.29100315987380337</v>
      </c>
      <c r="L15" s="5">
        <f t="shared" si="7"/>
        <v>16.984630631892855</v>
      </c>
      <c r="M15" s="5">
        <f>(L15-L22)^2</f>
        <v>12.814043737184161</v>
      </c>
      <c r="N15" s="4">
        <v>8</v>
      </c>
      <c r="O15" s="5">
        <f t="shared" si="8"/>
        <v>7.5398047222277276</v>
      </c>
      <c r="P15" s="11">
        <f t="shared" si="9"/>
        <v>71.186217495598342</v>
      </c>
      <c r="Q15" s="9">
        <f t="shared" si="10"/>
        <v>4.3802896229301232E-2</v>
      </c>
    </row>
    <row r="16" spans="1:17" x14ac:dyDescent="0.2">
      <c r="A16" s="4">
        <v>4</v>
      </c>
      <c r="B16" s="4">
        <v>2</v>
      </c>
      <c r="C16" s="4">
        <v>0</v>
      </c>
      <c r="D16" s="4">
        <v>0</v>
      </c>
      <c r="E16" s="4">
        <f t="shared" si="0"/>
        <v>4</v>
      </c>
      <c r="F16" s="5">
        <f t="shared" si="1"/>
        <v>0.14879999999999999</v>
      </c>
      <c r="G16" s="5">
        <f t="shared" si="2"/>
        <v>0.51814516129032262</v>
      </c>
      <c r="H16" s="5">
        <f t="shared" si="3"/>
        <v>0.54468086292915141</v>
      </c>
      <c r="I16" s="5">
        <f t="shared" si="4"/>
        <v>31.207914627384074</v>
      </c>
      <c r="J16" s="5">
        <f t="shared" si="5"/>
        <v>62.415829254768148</v>
      </c>
      <c r="K16" s="5">
        <f t="shared" si="6"/>
        <v>0.33602150537634412</v>
      </c>
      <c r="L16" s="5">
        <f t="shared" si="7"/>
        <v>15.624897469400405</v>
      </c>
      <c r="M16" s="5">
        <f>(L16+L23)^2</f>
        <v>780.65490748647539</v>
      </c>
      <c r="N16" s="4">
        <v>6</v>
      </c>
      <c r="O16" s="5">
        <f t="shared" si="8"/>
        <v>5.2887126010986556</v>
      </c>
      <c r="P16" s="11">
        <f t="shared" si="9"/>
        <v>2281.4972100437417</v>
      </c>
      <c r="Q16" s="9">
        <f t="shared" si="10"/>
        <v>1.403869864909814</v>
      </c>
    </row>
    <row r="17" spans="1:17" x14ac:dyDescent="0.2">
      <c r="A17" s="4">
        <v>5</v>
      </c>
      <c r="B17" s="4">
        <v>2</v>
      </c>
      <c r="C17" s="4">
        <v>1</v>
      </c>
      <c r="D17" s="4">
        <v>0</v>
      </c>
      <c r="E17" s="4">
        <f t="shared" si="0"/>
        <v>5</v>
      </c>
      <c r="F17" s="5">
        <f t="shared" si="1"/>
        <v>0.13309076602078745</v>
      </c>
      <c r="G17" s="5">
        <f t="shared" si="2"/>
        <v>0.57930390142887711</v>
      </c>
      <c r="H17" s="5">
        <f t="shared" si="3"/>
        <v>0.61787443955925192</v>
      </c>
      <c r="I17" s="5">
        <f t="shared" si="4"/>
        <v>35.401597655756213</v>
      </c>
      <c r="J17" s="5">
        <f t="shared" si="5"/>
        <v>70.803195311512425</v>
      </c>
      <c r="K17" s="5">
        <f t="shared" si="6"/>
        <v>0.3756834639616583</v>
      </c>
      <c r="L17" s="5">
        <f t="shared" si="7"/>
        <v>14.532823076989995</v>
      </c>
      <c r="M17" s="5">
        <f>(L17-L24)^2</f>
        <v>9.521046596453715</v>
      </c>
      <c r="N17" s="4">
        <v>24</v>
      </c>
      <c r="O17" s="5">
        <f t="shared" si="8"/>
        <v>4.0509441402763908</v>
      </c>
      <c r="P17" s="11">
        <f t="shared" si="9"/>
        <v>85.253421392605546</v>
      </c>
      <c r="Q17" s="9">
        <f t="shared" si="10"/>
        <v>5.2458845291001678E-2</v>
      </c>
    </row>
    <row r="18" spans="1:17" x14ac:dyDescent="0.2">
      <c r="A18" s="4">
        <v>6</v>
      </c>
      <c r="B18" s="4">
        <v>2</v>
      </c>
      <c r="C18" s="4">
        <v>1</v>
      </c>
      <c r="D18" s="4">
        <v>1</v>
      </c>
      <c r="E18" s="4">
        <f t="shared" si="0"/>
        <v>6</v>
      </c>
      <c r="F18" s="5">
        <f t="shared" si="1"/>
        <v>0.12149469124204564</v>
      </c>
      <c r="G18" s="5">
        <f t="shared" si="2"/>
        <v>0.6345956289266903</v>
      </c>
      <c r="H18" s="5">
        <f t="shared" si="3"/>
        <v>0.68748518309895867</v>
      </c>
      <c r="I18" s="5">
        <f t="shared" si="4"/>
        <v>39.389999469348965</v>
      </c>
      <c r="J18" s="5">
        <f t="shared" si="5"/>
        <v>78.779998938697929</v>
      </c>
      <c r="K18" s="5">
        <f t="shared" si="6"/>
        <v>0.41154061538695869</v>
      </c>
      <c r="L18" s="5">
        <f t="shared" si="7"/>
        <v>13.614860738182296</v>
      </c>
      <c r="M18" s="5">
        <f>(L18+L25)^2</f>
        <v>591.87173079619652</v>
      </c>
      <c r="N18" s="4">
        <v>24</v>
      </c>
      <c r="O18" s="5">
        <f t="shared" si="8"/>
        <v>3.3346682658265361</v>
      </c>
      <c r="P18" s="11">
        <f t="shared" si="9"/>
        <v>4362.6573690094956</v>
      </c>
      <c r="Q18" s="9">
        <f t="shared" si="10"/>
        <v>2.6844666670277202</v>
      </c>
    </row>
    <row r="19" spans="1:17" ht="35" customHeight="1" x14ac:dyDescent="0.25">
      <c r="L19" s="2" t="s">
        <v>20</v>
      </c>
    </row>
    <row r="20" spans="1:17" x14ac:dyDescent="0.2">
      <c r="L20" s="5">
        <f t="shared" ref="L20:L25" si="11">22-41.78214*K13^2*(3.565*EXP(-81.982*K13^2)+2.818*EXP(-19.049*K13^2)+1.893*EXP(-3.59*K13^2)+0.483*EXP(-0.386*K13^2))</f>
        <v>17.062180205931632</v>
      </c>
    </row>
    <row r="21" spans="1:17" x14ac:dyDescent="0.2">
      <c r="L21" s="5">
        <f t="shared" si="11"/>
        <v>14.889293038483949</v>
      </c>
    </row>
    <row r="22" spans="1:17" x14ac:dyDescent="0.2">
      <c r="L22" s="5">
        <f t="shared" si="11"/>
        <v>13.404959734005152</v>
      </c>
    </row>
    <row r="23" spans="1:17" x14ac:dyDescent="0.2">
      <c r="L23" s="5">
        <f t="shared" si="11"/>
        <v>12.315304882881788</v>
      </c>
    </row>
    <row r="24" spans="1:17" x14ac:dyDescent="0.2">
      <c r="L24" s="5">
        <f t="shared" si="11"/>
        <v>11.447203755613213</v>
      </c>
    </row>
    <row r="25" spans="1:17" x14ac:dyDescent="0.2">
      <c r="L25" s="5">
        <f t="shared" si="11"/>
        <v>10.713553324312542</v>
      </c>
    </row>
    <row r="27" spans="1:17" x14ac:dyDescent="0.2">
      <c r="A27" s="4" t="s">
        <v>25</v>
      </c>
    </row>
    <row r="28" spans="1:17" x14ac:dyDescent="0.2">
      <c r="A28" s="4" t="s">
        <v>6</v>
      </c>
      <c r="C28" s="4">
        <v>0.43070000000000003</v>
      </c>
      <c r="D28" s="4" t="s">
        <v>0</v>
      </c>
    </row>
    <row r="29" spans="1:17" ht="36" customHeight="1" x14ac:dyDescent="0.25">
      <c r="A29" s="1" t="s">
        <v>1</v>
      </c>
      <c r="B29" s="2" t="s">
        <v>3</v>
      </c>
      <c r="C29" s="2" t="s">
        <v>4</v>
      </c>
      <c r="D29" s="2" t="s">
        <v>5</v>
      </c>
      <c r="E29" s="2" t="s">
        <v>7</v>
      </c>
      <c r="F29" s="2" t="s">
        <v>24</v>
      </c>
      <c r="G29" s="1" t="s">
        <v>11</v>
      </c>
      <c r="H29" s="8" t="s">
        <v>12</v>
      </c>
      <c r="I29" s="8" t="s">
        <v>13</v>
      </c>
      <c r="J29" s="1" t="s">
        <v>14</v>
      </c>
      <c r="K29" s="1" t="s">
        <v>15</v>
      </c>
      <c r="L29" s="2" t="s">
        <v>19</v>
      </c>
      <c r="M29" s="2" t="s">
        <v>9</v>
      </c>
      <c r="N29" s="2" t="s">
        <v>2</v>
      </c>
      <c r="O29" s="1" t="s">
        <v>16</v>
      </c>
      <c r="P29" s="1" t="s">
        <v>17</v>
      </c>
      <c r="Q29" s="1" t="s">
        <v>22</v>
      </c>
    </row>
    <row r="30" spans="1:17" x14ac:dyDescent="0.2">
      <c r="A30" s="4">
        <v>1</v>
      </c>
      <c r="B30" s="4">
        <v>1</v>
      </c>
      <c r="C30" s="4">
        <v>1</v>
      </c>
      <c r="D30" s="4">
        <v>1</v>
      </c>
      <c r="E30" s="4">
        <f>B30^2+C30^2+D30^2</f>
        <v>3</v>
      </c>
      <c r="F30" s="5">
        <f>$C$28/SQRT(E30)</f>
        <v>0.24866476093997184</v>
      </c>
      <c r="G30" s="5">
        <f>$C$2/(2*F30)</f>
        <v>0.31005599550397128</v>
      </c>
      <c r="H30" s="5">
        <f>ASIN(G30)</f>
        <v>0.31525192997790152</v>
      </c>
      <c r="I30" s="5">
        <f>H30*180/PI()</f>
        <v>18.062605071087514</v>
      </c>
      <c r="J30" s="5">
        <f>I30*2</f>
        <v>36.125210142175028</v>
      </c>
      <c r="K30" s="5">
        <f>G30/($C$2*10)</f>
        <v>0.20107392704537697</v>
      </c>
      <c r="L30" s="5">
        <f>26-41.78214*K30^2*(2.544*EXP(-64.424*K30^2)+2.343*EXP(-14.88*K30^2)+1.759*EXP(-2.854*K30^2)+0.506*EXP(-0.35*K30^2))</f>
        <v>20.023226091453687</v>
      </c>
      <c r="M30" s="4">
        <f>(4*L30-4*L37)^2</f>
        <v>3325.5229253213479</v>
      </c>
      <c r="N30" s="4">
        <v>8</v>
      </c>
      <c r="O30" s="5">
        <f>(1+(COS(2*H30)^2))/((SIN(H30))^2*COS(H30))</f>
        <v>18.079674135606563</v>
      </c>
      <c r="P30" s="11">
        <f>0.0174*M30*N30*O30</f>
        <v>8369.3124181856274</v>
      </c>
      <c r="Q30" s="9">
        <f>(P30/$P$9)*100</f>
        <v>5.149875021622762</v>
      </c>
    </row>
    <row r="31" spans="1:17" x14ac:dyDescent="0.2">
      <c r="A31" s="4">
        <v>2</v>
      </c>
      <c r="B31" s="4">
        <v>2</v>
      </c>
      <c r="C31" s="4">
        <v>0</v>
      </c>
      <c r="D31" s="4">
        <v>0</v>
      </c>
      <c r="E31" s="4">
        <f>B31^2+C31^2+D31^2</f>
        <v>4</v>
      </c>
      <c r="F31" s="5">
        <f>$C$28/SQRT(E31)</f>
        <v>0.21535000000000001</v>
      </c>
      <c r="G31" s="5">
        <f>$C$2/(2*F31)</f>
        <v>0.35802182493615042</v>
      </c>
      <c r="H31" s="5">
        <f>ASIN(G31)</f>
        <v>0.36614841964637151</v>
      </c>
      <c r="I31" s="5">
        <f>H31*180/PI()</f>
        <v>20.978759121122039</v>
      </c>
      <c r="J31" s="5">
        <f>I31*2</f>
        <v>41.957518242244078</v>
      </c>
      <c r="K31" s="5">
        <f>G31/($C$2*10)</f>
        <v>0.23218017181332712</v>
      </c>
      <c r="L31" s="5">
        <f>26-41.78214*K31^2*(2.544*EXP(-64.424*K31^2)+2.343*EXP(-14.88*K31^2)+1.759*EXP(-2.854*K31^2)+0.506*EXP(-0.35*K31^2))</f>
        <v>18.94069958607804</v>
      </c>
      <c r="M31" s="4">
        <f>(4*L31+4*L38)^2</f>
        <v>9241.9797237381117</v>
      </c>
      <c r="N31" s="4">
        <v>6</v>
      </c>
      <c r="O31" s="5">
        <f>(1+(COS(2*H31)^2))/((SIN(H31))^2*COS(H31))</f>
        <v>12.975956500551781</v>
      </c>
      <c r="P31" s="11">
        <f>0.0174*M31*N31*O31</f>
        <v>12520.016205667242</v>
      </c>
      <c r="Q31" s="9">
        <f>(P31/$P$9)*100</f>
        <v>7.7039206455929747</v>
      </c>
    </row>
    <row r="32" spans="1:17" x14ac:dyDescent="0.2">
      <c r="A32" s="4">
        <v>3</v>
      </c>
      <c r="B32" s="4">
        <v>2</v>
      </c>
      <c r="C32" s="4">
        <v>2</v>
      </c>
      <c r="D32" s="4">
        <v>0</v>
      </c>
      <c r="E32" s="4">
        <f>B32^2+C32^2+D32^2</f>
        <v>8</v>
      </c>
      <c r="F32" s="5">
        <f>$C$28/SQRT(E32)</f>
        <v>0.152275445328523</v>
      </c>
      <c r="G32" s="5">
        <f>$C$2/(2*F32)</f>
        <v>0.50631932045026995</v>
      </c>
      <c r="H32" s="5">
        <f>ASIN(G32)</f>
        <v>0.53091119932745723</v>
      </c>
      <c r="I32" s="5">
        <f>H32*180/PI()</f>
        <v>30.41897101769209</v>
      </c>
      <c r="J32" s="5">
        <f>I32*2</f>
        <v>60.837942035384181</v>
      </c>
      <c r="K32" s="5">
        <f>G32/($C$2*10)</f>
        <v>0.32835234789252266</v>
      </c>
      <c r="L32" s="5">
        <f>26-41.78214*K32^2*(2.544*EXP(-64.424*K32^2)+2.343*EXP(-14.88*K32^2)+1.759*EXP(-2.854*K32^2)+0.506*EXP(-0.35*K32^2))</f>
        <v>15.84707062098391</v>
      </c>
      <c r="M32" s="4">
        <f>(4*L32+4*L39)^2</f>
        <v>6136.2365458705663</v>
      </c>
      <c r="N32" s="4">
        <v>12</v>
      </c>
      <c r="O32" s="5">
        <f>(1+(COS(2*H32)^2))/((SIN(H32))^2*COS(H32))</f>
        <v>5.5975077463767597</v>
      </c>
      <c r="P32" s="11">
        <f>0.0174*M32*N32*O32</f>
        <v>7171.7854778943074</v>
      </c>
      <c r="Q32" s="9">
        <f>(P32/$P$9)*100</f>
        <v>4.4130027710271076</v>
      </c>
    </row>
    <row r="33" spans="1:17" x14ac:dyDescent="0.2">
      <c r="A33" s="4">
        <v>4</v>
      </c>
      <c r="B33" s="4">
        <v>3</v>
      </c>
      <c r="C33" s="4">
        <v>1</v>
      </c>
      <c r="D33" s="4">
        <v>1</v>
      </c>
      <c r="E33" s="4">
        <f>B33^2+C33^2+D33^2</f>
        <v>11</v>
      </c>
      <c r="F33" s="5">
        <f>$C$28/SQRT(E33)</f>
        <v>0.1298609361096428</v>
      </c>
      <c r="G33" s="5">
        <f>$C$2/(2*F33)</f>
        <v>0.59371203003575879</v>
      </c>
      <c r="H33" s="5">
        <f>ASIN(G33)</f>
        <v>0.63566409802380341</v>
      </c>
      <c r="I33" s="5">
        <f>H33*180/PI()</f>
        <v>36.420870004754192</v>
      </c>
      <c r="J33" s="5">
        <f>I33*2</f>
        <v>72.841740009508385</v>
      </c>
      <c r="K33" s="5">
        <f>G33/($C$2*10)</f>
        <v>0.38502725683252836</v>
      </c>
      <c r="L33" s="5">
        <f>26-41.78214*K33^2*(2.544*EXP(-64.424*K33^2)+2.343*EXP(-14.88*K33^2)+1.759*EXP(-2.854*K33^2)+0.506*EXP(-0.35*K33^2))</f>
        <v>14.287974781106829</v>
      </c>
      <c r="M33" s="4">
        <f>(4*L33-4*L40)^2</f>
        <v>1989.7011663418753</v>
      </c>
      <c r="N33" s="4">
        <v>24</v>
      </c>
      <c r="O33" s="5">
        <f>(1+(COS(2*H33)^2))/((SIN(H33))^2*COS(H33))</f>
        <v>3.8323817927787154</v>
      </c>
      <c r="P33" s="11">
        <f>0.0174*M33*N33*O33</f>
        <v>3184.3229927877519</v>
      </c>
      <c r="Q33" s="9">
        <f>(P33/$P$9)*100</f>
        <v>1.9594041448021091</v>
      </c>
    </row>
    <row r="34" spans="1:17" x14ac:dyDescent="0.2">
      <c r="A34" s="4">
        <v>5</v>
      </c>
      <c r="B34" s="4">
        <v>2</v>
      </c>
      <c r="C34" s="4">
        <v>2</v>
      </c>
      <c r="D34" s="4">
        <v>2</v>
      </c>
      <c r="E34" s="4">
        <f>B34^2+C34^2+D34^2</f>
        <v>12</v>
      </c>
      <c r="F34" s="5">
        <f>$C$28/SQRT(E34)</f>
        <v>0.12433238046998592</v>
      </c>
      <c r="G34" s="5">
        <f>$C$2/(2*F34)</f>
        <v>0.62011199100794256</v>
      </c>
      <c r="H34" s="5">
        <f>ASIN(G34)</f>
        <v>0.66888544736054989</v>
      </c>
      <c r="I34" s="5">
        <f>H34*180/PI()</f>
        <v>38.324313111479505</v>
      </c>
      <c r="J34" s="5">
        <f>I34*2</f>
        <v>76.64862622295901</v>
      </c>
      <c r="K34" s="5">
        <f>G34/($C$2*10)</f>
        <v>0.40214785409075393</v>
      </c>
      <c r="L34" s="5">
        <f>26-41.78214*K34^2*(2.544*EXP(-64.424*K34^2)+2.343*EXP(-14.88*K34^2)+1.759*EXP(-2.854*K34^2)+0.506*EXP(-0.35*K34^2))</f>
        <v>13.849878760244691</v>
      </c>
      <c r="M34" s="4">
        <f>(4*L34+4*L41)^2</f>
        <v>4534.1841047303769</v>
      </c>
      <c r="N34" s="4">
        <v>8</v>
      </c>
      <c r="O34" s="5">
        <f>(1+(COS(2*H34)^2))/((SIN(H34))^2*COS(H34))</f>
        <v>3.4915788595285457</v>
      </c>
      <c r="P34" s="11">
        <f>0.0174*M34*N34*O34</f>
        <v>2203.7394220479432</v>
      </c>
      <c r="Q34" s="9">
        <f>(P34/$P$9)*100</f>
        <v>1.3560232951884972</v>
      </c>
    </row>
    <row r="36" spans="1:17" ht="36" customHeight="1" x14ac:dyDescent="0.25">
      <c r="L36" s="2" t="s">
        <v>26</v>
      </c>
    </row>
    <row r="37" spans="1:17" x14ac:dyDescent="0.2">
      <c r="L37" s="5">
        <f>8-41.78214*K30^2*(0.455*EXP(-23.78*K30^2)+0.917*EXP(-7.622*K30^2)+0.472*EXP(-2.144*K30^2)+0.138*EXP(-0.296*K30^2))</f>
        <v>5.6063893082829681</v>
      </c>
    </row>
    <row r="38" spans="1:17" x14ac:dyDescent="0.2">
      <c r="L38" s="5">
        <f>8-41.78214*K31^2*(0.455*EXP(-23.78*K31^2)+0.917*EXP(-7.622*K31^2)+0.472*EXP(-2.144*K31^2)+0.138*EXP(-0.296*K31^2))</f>
        <v>5.0931043727968826</v>
      </c>
    </row>
    <row r="39" spans="1:17" x14ac:dyDescent="0.2">
      <c r="L39" s="5">
        <f>8-41.78214*K32^2*(0.455*EXP(-23.78*K32^2)+0.917*EXP(-7.622*K32^2)+0.472*EXP(-2.144*K32^2)+0.138*EXP(-0.296*K32^2))</f>
        <v>3.7364628731766976</v>
      </c>
    </row>
    <row r="40" spans="1:17" x14ac:dyDescent="0.2">
      <c r="L40" s="5">
        <f>8-41.78214*K33^2*(0.455*EXP(-23.78*K33^2)+0.917*EXP(-7.622*K33^2)+0.472*EXP(-2.144*K33^2)+0.138*EXP(-0.296*K33^2))</f>
        <v>3.1364581624415822</v>
      </c>
    </row>
    <row r="41" spans="1:17" x14ac:dyDescent="0.2">
      <c r="L41" s="5">
        <f>8-41.78214*K34^2*(0.455*EXP(-23.78*K34^2)+0.917*EXP(-7.622*K34^2)+0.472*EXP(-2.144*K34^2)+0.138*EXP(-0.296*K34^2))</f>
        <v>2.9842088760262016</v>
      </c>
    </row>
  </sheetData>
  <pageMargins left="0.75" right="0.75" top="1" bottom="1" header="0.5" footer="0.5"/>
  <pageSetup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Diffraction Pattern</vt:lpstr>
    </vt:vector>
  </TitlesOfParts>
  <Company>University of Nevada, Reno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Graeve</dc:creator>
  <cp:lastModifiedBy>Olivia Graeve</cp:lastModifiedBy>
  <cp:lastPrinted>2019-12-14T00:49:02Z</cp:lastPrinted>
  <dcterms:created xsi:type="dcterms:W3CDTF">2003-03-27T16:47:12Z</dcterms:created>
  <dcterms:modified xsi:type="dcterms:W3CDTF">2020-10-15T19:40:07Z</dcterms:modified>
</cp:coreProperties>
</file>