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340" yWindow="460" windowWidth="26460" windowHeight="16400" tabRatio="222" activeTab="0"/>
  </bookViews>
  <sheets>
    <sheet name="NiSn3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<sst xmlns="http://schemas.openxmlformats.org/spreadsheetml/2006/main" count="28" uniqueCount="25">
  <si>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nm</t>
  </si>
  <si>
    <t>Line</t>
  </si>
  <si>
    <t>p</t>
  </si>
  <si>
    <t>Intensity</t>
  </si>
  <si>
    <t>Normalized Intensity</t>
  </si>
  <si>
    <t>h</t>
  </si>
  <si>
    <t>k</t>
  </si>
  <si>
    <t>l</t>
  </si>
  <si>
    <t>Lattice parameter, a =</t>
  </si>
  <si>
    <t>Lattice parameter, c =</t>
  </si>
  <si>
    <t>Maximum =</t>
  </si>
  <si>
    <t>d</t>
  </si>
  <si>
    <r>
      <t xml:space="preserve">sin </t>
    </r>
    <r>
      <rPr>
        <sz val="12"/>
        <rFont val="Symbol"/>
        <family val="0"/>
      </rPr>
      <t>q</t>
    </r>
  </si>
  <si>
    <r>
      <t>1/d</t>
    </r>
    <r>
      <rPr>
        <vertAlign val="superscript"/>
        <sz val="12"/>
        <rFont val="Arial"/>
        <family val="2"/>
      </rPr>
      <t>2</t>
    </r>
  </si>
  <si>
    <r>
      <t>f</t>
    </r>
    <r>
      <rPr>
        <vertAlign val="subscript"/>
        <sz val="12"/>
        <rFont val="Arial"/>
        <family val="2"/>
      </rPr>
      <t>Ni</t>
    </r>
  </si>
  <si>
    <r>
      <t>f</t>
    </r>
    <r>
      <rPr>
        <vertAlign val="subscript"/>
        <sz val="12"/>
        <rFont val="Arial"/>
        <family val="2"/>
      </rPr>
      <t>Sn</t>
    </r>
  </si>
  <si>
    <r>
      <t>F</t>
    </r>
    <r>
      <rPr>
        <vertAlign val="superscript"/>
        <sz val="12"/>
        <rFont val="Arial"/>
        <family val="2"/>
      </rPr>
      <t>2</t>
    </r>
  </si>
  <si>
    <r>
      <rPr>
        <sz val="12"/>
        <rFont val="Symbol"/>
        <family val="0"/>
      </rPr>
      <t>q</t>
    </r>
    <r>
      <rPr>
        <sz val="12"/>
        <rFont val="Arial"/>
        <family val="2"/>
      </rPr>
      <t xml:space="preserve"> (rad)</t>
    </r>
  </si>
  <si>
    <r>
      <rPr>
        <sz val="12"/>
        <rFont val="Symbol"/>
        <family val="0"/>
      </rPr>
      <t>q</t>
    </r>
    <r>
      <rPr>
        <sz val="12"/>
        <rFont val="Arial"/>
        <family val="2"/>
      </rPr>
      <t xml:space="preserve"> (deg)</t>
    </r>
  </si>
  <si>
    <r>
      <t>2</t>
    </r>
    <r>
      <rPr>
        <sz val="12"/>
        <rFont val="Symbol"/>
        <family val="0"/>
      </rPr>
      <t>q</t>
    </r>
    <r>
      <rPr>
        <sz val="12"/>
        <rFont val="Arial"/>
        <family val="2"/>
      </rPr>
      <t xml:space="preserve"> (deg)</t>
    </r>
  </si>
  <si>
    <r>
      <t>(1 + cos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2</t>
    </r>
    <r>
      <rPr>
        <sz val="12"/>
        <rFont val="Symbol"/>
        <family val="0"/>
      </rPr>
      <t>q</t>
    </r>
    <r>
      <rPr>
        <sz val="12"/>
        <rFont val="Arial"/>
        <family val="2"/>
      </rPr>
      <t>)/(sin</t>
    </r>
    <r>
      <rPr>
        <vertAlign val="superscript"/>
        <sz val="12"/>
        <rFont val="Arial"/>
        <family val="2"/>
      </rPr>
      <t>2</t>
    </r>
    <r>
      <rPr>
        <sz val="12"/>
        <rFont val="Symbol"/>
        <family val="0"/>
      </rPr>
      <t>q</t>
    </r>
    <r>
      <rPr>
        <sz val="12"/>
        <rFont val="Arial"/>
        <family val="2"/>
      </rPr>
      <t xml:space="preserve"> cos</t>
    </r>
    <r>
      <rPr>
        <sz val="12"/>
        <rFont val="Symbol"/>
        <family val="0"/>
      </rPr>
      <t>q</t>
    </r>
    <r>
      <rPr>
        <sz val="12"/>
        <rFont val="Arial"/>
        <family val="2"/>
      </rPr>
      <t>)</t>
    </r>
  </si>
  <si>
    <r>
      <t>sin</t>
    </r>
    <r>
      <rPr>
        <sz val="12"/>
        <rFont val="Symbol"/>
        <family val="0"/>
      </rPr>
      <t>q</t>
    </r>
    <r>
      <rPr>
        <sz val="12"/>
        <rFont val="Arial"/>
        <family val="2"/>
      </rPr>
      <t>/</t>
    </r>
    <r>
      <rPr>
        <sz val="12"/>
        <rFont val="Symbol"/>
        <family val="0"/>
      </rPr>
      <t>l</t>
    </r>
    <r>
      <rPr>
        <sz val="12"/>
        <rFont val="Arial"/>
        <family val="2"/>
      </rPr>
      <t xml:space="preserve"> (A</t>
    </r>
    <r>
      <rPr>
        <vertAlign val="superscript"/>
        <sz val="12"/>
        <rFont val="Arial"/>
        <family val="2"/>
      </rPr>
      <t>-1</t>
    </r>
    <r>
      <rPr>
        <sz val="12"/>
        <rFont val="Arial"/>
        <family val="2"/>
      </rPr>
      <t>)</t>
    </r>
  </si>
  <si>
    <r>
      <t>Cu K</t>
    </r>
    <r>
      <rPr>
        <sz val="12"/>
        <rFont val="Symbol"/>
        <family val="0"/>
      </rPr>
      <t>a</t>
    </r>
    <r>
      <rPr>
        <sz val="12"/>
        <rFont val="Arial"/>
        <family val="2"/>
      </rPr>
      <t xml:space="preserve"> radiation =</t>
    </r>
  </si>
  <si>
    <r>
      <t>h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+ k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+ l</t>
    </r>
    <r>
      <rPr>
        <vertAlign val="superscript"/>
        <sz val="12"/>
        <rFont val="Arial"/>
        <family val="2"/>
      </rPr>
      <t>2</t>
    </r>
  </si>
  <si>
    <r>
      <t>Theoretical X-Ray Diffraction Pattern for Ni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Sn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</si>
</sst>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0.000000000000"/>
  </numFmts>
  <fonts count="5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12"/>
      <name val="Verdana"/>
      <family val="2"/>
    </font>
    <font>
      <sz val="12"/>
      <name val="Symbol"/>
      <family val="0"/>
    </font>
    <font>
      <sz val="12"/>
      <name val="Arial"/>
      <family val="2"/>
    </font>
    <font>
      <vertAlign val="superscript"/>
      <sz val="12"/>
      <name val="Arial"/>
      <family val="2"/>
    </font>
    <font>
      <vertAlign val="subscript"/>
      <sz val="12"/>
      <name val="Arial"/>
      <family val="2"/>
    </font>
    <font>
      <b/>
      <sz val="12"/>
      <name val="Arial"/>
      <family val="2"/>
    </font>
    <font>
      <sz val="8"/>
      <name val="Verdana"/>
      <family val="2"/>
    </font>
    <font>
      <sz val="8.75"/>
      <color indexed="8"/>
      <name val="Verdana"/>
      <family val="0"/>
    </font>
    <font>
      <sz val="12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0"/>
    </font>
    <font>
      <sz val="12"/>
      <color indexed="8"/>
      <name val="Symbol"/>
      <family val="2"/>
    </font>
    <font>
      <sz val="14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172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172" fontId="8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25"/>
          <c:y val="0.02875"/>
          <c:w val="0.837"/>
          <c:h val="0.87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NiSn3!$A$27:$A$39</c:f>
              <c:numCache/>
            </c:numRef>
          </c:xVal>
          <c:yVal>
            <c:numRef>
              <c:f>NiSn3!$C$27:$C$39</c:f>
              <c:numCache/>
            </c:numRef>
          </c:yVal>
          <c:smooth val="0"/>
        </c:ser>
        <c:axId val="23308597"/>
        <c:axId val="8450782"/>
      </c:scatterChart>
      <c:valAx>
        <c:axId val="23308597"/>
        <c:scaling>
          <c:orientation val="minMax"/>
          <c:max val="8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2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q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450782"/>
        <c:crosses val="autoZero"/>
        <c:crossBetween val="midCat"/>
        <c:dispUnits/>
        <c:majorUnit val="10"/>
        <c:minorUnit val="5"/>
      </c:valAx>
      <c:valAx>
        <c:axId val="845078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Relative Intensity</a:t>
                </a:r>
              </a:p>
            </c:rich>
          </c:tx>
          <c:layout>
            <c:manualLayout>
              <c:xMode val="factor"/>
              <c:yMode val="factor"/>
              <c:x val="-0.021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308597"/>
        <c:crosses val="autoZero"/>
        <c:crossBetween val="midCat"/>
        <c:dispUnits/>
        <c:majorUnit val="20"/>
        <c:minorUnit val="1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20</xdr:row>
      <xdr:rowOff>9525</xdr:rowOff>
    </xdr:from>
    <xdr:to>
      <xdr:col>13</xdr:col>
      <xdr:colOff>695325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3781425" y="4143375"/>
        <a:ext cx="78486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abSelected="1" zoomScale="150" zoomScaleNormal="150" zoomScalePageLayoutView="0" workbookViewId="0" topLeftCell="A1">
      <selection activeCell="G3" sqref="G3"/>
    </sheetView>
  </sheetViews>
  <sheetFormatPr defaultColWidth="11.00390625" defaultRowHeight="12.75"/>
  <cols>
    <col min="1" max="1" width="12.875" style="5" customWidth="1"/>
    <col min="2" max="2" width="7.375" style="5" customWidth="1"/>
    <col min="3" max="3" width="7.625" style="5" customWidth="1"/>
    <col min="4" max="4" width="7.125" style="5" customWidth="1"/>
    <col min="5" max="5" width="14.50390625" style="5" customWidth="1"/>
    <col min="6" max="6" width="13.875" style="5" customWidth="1"/>
    <col min="7" max="7" width="11.625" style="5" customWidth="1"/>
    <col min="8" max="8" width="10.375" style="5" customWidth="1"/>
    <col min="9" max="9" width="11.875" style="5" customWidth="1"/>
    <col min="10" max="10" width="12.375" style="5" customWidth="1"/>
    <col min="11" max="11" width="11.50390625" style="5" customWidth="1"/>
    <col min="12" max="12" width="11.875" style="5" customWidth="1"/>
    <col min="13" max="13" width="10.50390625" style="5" customWidth="1"/>
    <col min="14" max="14" width="9.625" style="5" customWidth="1"/>
    <col min="15" max="15" width="10.50390625" style="5" customWidth="1"/>
    <col min="16" max="16" width="6.625" style="5" customWidth="1"/>
    <col min="17" max="17" width="25.00390625" style="5" customWidth="1"/>
    <col min="18" max="18" width="14.50390625" style="5" customWidth="1"/>
    <col min="19" max="19" width="20.875" style="0" customWidth="1"/>
  </cols>
  <sheetData>
    <row r="1" ht="18">
      <c r="A1" s="12" t="s">
        <v>24</v>
      </c>
    </row>
    <row r="2" spans="1:4" ht="15.75">
      <c r="A2" s="4" t="s">
        <v>22</v>
      </c>
      <c r="C2" s="5">
        <v>0.1542</v>
      </c>
      <c r="D2" s="5" t="s">
        <v>0</v>
      </c>
    </row>
    <row r="3" spans="1:4" ht="15.75">
      <c r="A3" s="4" t="s">
        <v>8</v>
      </c>
      <c r="C3" s="5">
        <v>0.5275</v>
      </c>
      <c r="D3" s="5" t="s">
        <v>0</v>
      </c>
    </row>
    <row r="4" spans="1:4" ht="15.75">
      <c r="A4" s="5" t="s">
        <v>9</v>
      </c>
      <c r="C4" s="5">
        <v>0.4234</v>
      </c>
      <c r="D4" s="5" t="s">
        <v>0</v>
      </c>
    </row>
    <row r="5" ht="15.75">
      <c r="A5" s="3"/>
    </row>
    <row r="6" spans="1:18" s="2" customFormat="1" ht="24" customHeight="1">
      <c r="A6" s="3" t="s">
        <v>1</v>
      </c>
      <c r="B6" s="3" t="s">
        <v>5</v>
      </c>
      <c r="C6" s="3" t="s">
        <v>6</v>
      </c>
      <c r="D6" s="3" t="s">
        <v>7</v>
      </c>
      <c r="E6" s="3" t="s">
        <v>23</v>
      </c>
      <c r="F6" s="3" t="s">
        <v>13</v>
      </c>
      <c r="G6" s="3" t="s">
        <v>11</v>
      </c>
      <c r="H6" s="3" t="s">
        <v>12</v>
      </c>
      <c r="I6" s="3" t="s">
        <v>17</v>
      </c>
      <c r="J6" s="3" t="s">
        <v>18</v>
      </c>
      <c r="K6" s="3" t="s">
        <v>19</v>
      </c>
      <c r="L6" s="3" t="s">
        <v>21</v>
      </c>
      <c r="M6" s="3" t="s">
        <v>14</v>
      </c>
      <c r="N6" s="3" t="s">
        <v>15</v>
      </c>
      <c r="O6" s="3" t="s">
        <v>16</v>
      </c>
      <c r="P6" s="3" t="s">
        <v>2</v>
      </c>
      <c r="Q6" s="3" t="s">
        <v>20</v>
      </c>
      <c r="R6" s="3" t="s">
        <v>3</v>
      </c>
    </row>
    <row r="7" spans="1:19" ht="15.75">
      <c r="A7" s="5">
        <v>1</v>
      </c>
      <c r="B7" s="6">
        <v>1</v>
      </c>
      <c r="C7" s="6">
        <v>0</v>
      </c>
      <c r="D7" s="6">
        <v>0</v>
      </c>
      <c r="E7" s="5">
        <f aca="true" t="shared" si="0" ref="E7:E19">B7^2+C7^2+D7^2</f>
        <v>1</v>
      </c>
      <c r="F7" s="7">
        <f>(4/3)*((B7^2+B7*C7+C7^2)/$C$3^2)+D7^2/$C$4^2</f>
        <v>4.791746217140975</v>
      </c>
      <c r="G7" s="7">
        <f>SQRT(1/F7)</f>
        <v>0.45682840049629136</v>
      </c>
      <c r="H7" s="7">
        <f>$C$2/(2*G7)</f>
        <v>0.1687723440929674</v>
      </c>
      <c r="I7" s="7">
        <f aca="true" t="shared" si="1" ref="I7:I19">ASIN(H7)</f>
        <v>0.16958401310416876</v>
      </c>
      <c r="J7" s="7">
        <f aca="true" t="shared" si="2" ref="J7:J19">I7*180/PI()</f>
        <v>9.716448223760116</v>
      </c>
      <c r="K7" s="7">
        <f aca="true" t="shared" si="3" ref="K7:K19">J7*2</f>
        <v>19.432896447520232</v>
      </c>
      <c r="L7" s="7">
        <f aca="true" t="shared" si="4" ref="L7:L19">H7/($C$2*10)</f>
        <v>0.10945028799803333</v>
      </c>
      <c r="M7" s="7">
        <f aca="true" t="shared" si="5" ref="M7:M19">28-41.78214*L7^2*((2.218*EXP(-58.727*L7^2)+2.134*EXP(-13.553*L7^2)+1.689*EXP(-2.609*L7^2)+0.524*EXP(-0.339*L7^2)))</f>
        <v>25.462013381091023</v>
      </c>
      <c r="N7" s="7">
        <f aca="true" t="shared" si="6" ref="N7:N19">50-41.78214*L7^2*(3.45*EXP(-59.104*L7^2)+3.735*EXP(-14.179*L7^2)+2.118*EXP(-2.855*L7^2)+0.877*EXP(-0.327*L7^2))</f>
        <v>46.11022058045348</v>
      </c>
      <c r="O7" s="8">
        <f>(-M7+N7)^2</f>
        <v>426.3484605478036</v>
      </c>
      <c r="P7" s="9">
        <v>6</v>
      </c>
      <c r="Q7" s="7">
        <f>(1+(COS(2*I7)^2))/((SIN(I7))^2*COS(I7))</f>
        <v>67.29386367851043</v>
      </c>
      <c r="R7" s="7">
        <f aca="true" t="shared" si="7" ref="R7:R19">O7*P7*Q7</f>
        <v>172143.81110188007</v>
      </c>
      <c r="S7" s="1"/>
    </row>
    <row r="8" spans="1:19" ht="15.75">
      <c r="A8" s="5">
        <f aca="true" t="shared" si="8" ref="A8:A19">A7+1</f>
        <v>2</v>
      </c>
      <c r="B8" s="6">
        <v>0</v>
      </c>
      <c r="C8" s="6">
        <v>1</v>
      </c>
      <c r="D8" s="6">
        <v>1</v>
      </c>
      <c r="E8" s="5">
        <f t="shared" si="0"/>
        <v>2</v>
      </c>
      <c r="F8" s="7">
        <f aca="true" t="shared" si="9" ref="F8:F19">(4/3)*((B8^2+B8*C8+C8^2)/$C$3^2)+D8^2/$C$4^2</f>
        <v>10.370000308399874</v>
      </c>
      <c r="G8" s="7">
        <f aca="true" t="shared" si="10" ref="G8:G19">SQRT(1/F8)</f>
        <v>0.31053504240467117</v>
      </c>
      <c r="H8" s="7">
        <f aca="true" t="shared" si="11" ref="H8:H19">$C$2/(2*G8)</f>
        <v>0.24828115823246696</v>
      </c>
      <c r="I8" s="7">
        <f t="shared" si="1"/>
        <v>0.25090544872133014</v>
      </c>
      <c r="J8" s="7">
        <f t="shared" si="2"/>
        <v>14.375823268568313</v>
      </c>
      <c r="K8" s="7">
        <f t="shared" si="3"/>
        <v>28.751646537136626</v>
      </c>
      <c r="L8" s="7">
        <f t="shared" si="4"/>
        <v>0.1610124242752704</v>
      </c>
      <c r="M8" s="7">
        <f t="shared" si="5"/>
        <v>23.576633090155756</v>
      </c>
      <c r="N8" s="7">
        <f t="shared" si="6"/>
        <v>43.3188515920054</v>
      </c>
      <c r="O8" s="8">
        <f>(SQRT(3)*M8-SQRT(3)*N8)^2</f>
        <v>1169.2655741243232</v>
      </c>
      <c r="P8" s="9">
        <v>12</v>
      </c>
      <c r="Q8" s="7">
        <f aca="true" t="shared" si="12" ref="Q8:Q19">(1+(COS(2*I8)^2))/((SIN(I8))^2*COS(I8))</f>
        <v>29.618594622829512</v>
      </c>
      <c r="R8" s="7">
        <f t="shared" si="7"/>
        <v>415584.03655702004</v>
      </c>
      <c r="S8" s="1"/>
    </row>
    <row r="9" spans="1:19" ht="15.75">
      <c r="A9" s="5">
        <f t="shared" si="8"/>
        <v>3</v>
      </c>
      <c r="B9" s="6">
        <v>1</v>
      </c>
      <c r="C9" s="6">
        <v>1</v>
      </c>
      <c r="D9" s="6">
        <v>0</v>
      </c>
      <c r="E9" s="5">
        <f t="shared" si="0"/>
        <v>2</v>
      </c>
      <c r="F9" s="7">
        <f t="shared" si="9"/>
        <v>14.375238651422926</v>
      </c>
      <c r="G9" s="7">
        <f t="shared" si="10"/>
        <v>0.26375</v>
      </c>
      <c r="H9" s="7">
        <f t="shared" si="11"/>
        <v>0.29232227488151663</v>
      </c>
      <c r="I9" s="7">
        <f t="shared" si="1"/>
        <v>0.2966542848699268</v>
      </c>
      <c r="J9" s="7">
        <f t="shared" si="2"/>
        <v>16.99703849751844</v>
      </c>
      <c r="K9" s="7">
        <f t="shared" si="3"/>
        <v>33.99407699503688</v>
      </c>
      <c r="L9" s="7">
        <f t="shared" si="4"/>
        <v>0.18957345971563982</v>
      </c>
      <c r="M9" s="7">
        <f t="shared" si="5"/>
        <v>22.541143278307523</v>
      </c>
      <c r="N9" s="7">
        <f t="shared" si="6"/>
        <v>41.83977177417545</v>
      </c>
      <c r="O9" s="8">
        <f>(2*M9-2*N9)^2</f>
        <v>1489.748247286103</v>
      </c>
      <c r="P9" s="9">
        <v>6</v>
      </c>
      <c r="Q9" s="7">
        <f t="shared" si="12"/>
        <v>20.64861022007788</v>
      </c>
      <c r="R9" s="7">
        <f t="shared" si="7"/>
        <v>184567.3853055296</v>
      </c>
      <c r="S9" s="1"/>
    </row>
    <row r="10" spans="1:19" ht="15.75">
      <c r="A10" s="5">
        <f>A9+1</f>
        <v>4</v>
      </c>
      <c r="B10" s="6">
        <v>2</v>
      </c>
      <c r="C10" s="6">
        <v>0</v>
      </c>
      <c r="D10" s="6">
        <v>0</v>
      </c>
      <c r="E10" s="5">
        <f t="shared" si="0"/>
        <v>4</v>
      </c>
      <c r="F10" s="7">
        <f t="shared" si="9"/>
        <v>19.1669848685639</v>
      </c>
      <c r="G10" s="7">
        <f t="shared" si="10"/>
        <v>0.22841420024814568</v>
      </c>
      <c r="H10" s="7">
        <f t="shared" si="11"/>
        <v>0.3375446881859348</v>
      </c>
      <c r="I10" s="7">
        <f>ASIN(H10)</f>
        <v>0.3443072734317358</v>
      </c>
      <c r="J10" s="7">
        <f>I10*180/PI()</f>
        <v>19.727353623295283</v>
      </c>
      <c r="K10" s="7">
        <f>J10*2</f>
        <v>39.454707246590566</v>
      </c>
      <c r="L10" s="7">
        <f>H10/($C$2*10)</f>
        <v>0.21890057599606666</v>
      </c>
      <c r="M10" s="7">
        <f t="shared" si="5"/>
        <v>21.48568530974934</v>
      </c>
      <c r="N10" s="7">
        <f>50-41.78214*L10^2*(3.45*EXP(-59.104*L10^2)+3.735*EXP(-14.179*L10^2)+2.118*EXP(-2.855*L10^2)+0.877*EXP(-0.327*L10^2))</f>
        <v>40.37586713012263</v>
      </c>
      <c r="O10" s="8">
        <f>(-M10-3*N10)^2</f>
        <v>20338.54954340983</v>
      </c>
      <c r="P10" s="9">
        <v>6</v>
      </c>
      <c r="Q10" s="7">
        <f t="shared" si="12"/>
        <v>14.882879426439471</v>
      </c>
      <c r="R10" s="7">
        <f t="shared" si="7"/>
        <v>1816177.0833794044</v>
      </c>
      <c r="S10" s="1"/>
    </row>
    <row r="11" spans="1:19" ht="15.75">
      <c r="A11" s="5">
        <f t="shared" si="8"/>
        <v>5</v>
      </c>
      <c r="B11" s="6">
        <v>0</v>
      </c>
      <c r="C11" s="6">
        <v>0</v>
      </c>
      <c r="D11" s="6">
        <v>2</v>
      </c>
      <c r="E11" s="5">
        <f t="shared" si="0"/>
        <v>4</v>
      </c>
      <c r="F11" s="7">
        <f t="shared" si="9"/>
        <v>22.313016365035594</v>
      </c>
      <c r="G11" s="7">
        <f t="shared" si="10"/>
        <v>0.2117</v>
      </c>
      <c r="H11" s="7">
        <f t="shared" si="11"/>
        <v>0.3641946150212565</v>
      </c>
      <c r="I11" s="7">
        <f>ASIN(H11)</f>
        <v>0.37276788143222706</v>
      </c>
      <c r="J11" s="7">
        <f>I11*180/PI()</f>
        <v>21.358026344099695</v>
      </c>
      <c r="K11" s="7">
        <f>J11*2</f>
        <v>42.71605268819939</v>
      </c>
      <c r="L11" s="7">
        <f>H11/($C$2*10)</f>
        <v>0.23618327822390175</v>
      </c>
      <c r="M11" s="7">
        <f t="shared" si="5"/>
        <v>20.867546527044972</v>
      </c>
      <c r="N11" s="7">
        <f>50-41.78214*L11^2*(3.45*EXP(-59.104*L11^2)+3.735*EXP(-14.179*L11^2)+2.118*EXP(-2.855*L11^2)+0.877*EXP(-0.327*L11^2))</f>
        <v>39.53864791303387</v>
      </c>
      <c r="O11" s="8">
        <f>(-2*M11-6*N11)^2</f>
        <v>77822.57622730485</v>
      </c>
      <c r="P11" s="9">
        <v>2</v>
      </c>
      <c r="Q11" s="7">
        <f t="shared" si="12"/>
        <v>12.465299057916953</v>
      </c>
      <c r="R11" s="7">
        <f t="shared" si="7"/>
        <v>1940163.3722617866</v>
      </c>
      <c r="S11" s="1"/>
    </row>
    <row r="12" spans="1:19" ht="15.75">
      <c r="A12" s="5">
        <f t="shared" si="8"/>
        <v>6</v>
      </c>
      <c r="B12" s="6">
        <v>2</v>
      </c>
      <c r="C12" s="6">
        <v>0</v>
      </c>
      <c r="D12" s="6">
        <v>1</v>
      </c>
      <c r="E12" s="5">
        <f t="shared" si="0"/>
        <v>5</v>
      </c>
      <c r="F12" s="7">
        <f t="shared" si="9"/>
        <v>24.7452389598228</v>
      </c>
      <c r="G12" s="7">
        <f t="shared" si="10"/>
        <v>0.20102689927763326</v>
      </c>
      <c r="H12" s="7">
        <f t="shared" si="11"/>
        <v>0.3835307626842471</v>
      </c>
      <c r="I12" s="7">
        <f t="shared" si="1"/>
        <v>0.39361639983056107</v>
      </c>
      <c r="J12" s="7">
        <f t="shared" si="2"/>
        <v>22.552558457425082</v>
      </c>
      <c r="K12" s="7">
        <f t="shared" si="3"/>
        <v>45.105116914850164</v>
      </c>
      <c r="L12" s="7">
        <f t="shared" si="4"/>
        <v>0.2487229329988632</v>
      </c>
      <c r="M12" s="7">
        <f t="shared" si="5"/>
        <v>20.422135799655372</v>
      </c>
      <c r="N12" s="7">
        <f t="shared" si="6"/>
        <v>38.94426329194043</v>
      </c>
      <c r="O12" s="8">
        <f>(SQRT(3)*M12+2*SQRT(3)*N12)^2</f>
        <v>28994.95901486894</v>
      </c>
      <c r="P12" s="9">
        <v>12</v>
      </c>
      <c r="Q12" s="7">
        <f t="shared" si="12"/>
        <v>11.028316733239025</v>
      </c>
      <c r="R12" s="7">
        <f t="shared" si="7"/>
        <v>3837187.1001991057</v>
      </c>
      <c r="S12" s="1"/>
    </row>
    <row r="13" spans="1:19" ht="15.75">
      <c r="A13" s="5">
        <f t="shared" si="8"/>
        <v>7</v>
      </c>
      <c r="B13" s="6">
        <v>1</v>
      </c>
      <c r="C13" s="6">
        <v>0</v>
      </c>
      <c r="D13" s="6">
        <v>2</v>
      </c>
      <c r="E13" s="5">
        <f t="shared" si="0"/>
        <v>5</v>
      </c>
      <c r="F13" s="7">
        <f t="shared" si="9"/>
        <v>27.10476258217657</v>
      </c>
      <c r="G13" s="7">
        <f t="shared" si="10"/>
        <v>0.19207781036324706</v>
      </c>
      <c r="H13" s="7">
        <f t="shared" si="11"/>
        <v>0.40139982777913125</v>
      </c>
      <c r="I13" s="7">
        <f t="shared" si="1"/>
        <v>0.4130446933748981</v>
      </c>
      <c r="J13" s="7">
        <f t="shared" si="2"/>
        <v>23.665717680656854</v>
      </c>
      <c r="K13" s="7">
        <f t="shared" si="3"/>
        <v>47.33143536131371</v>
      </c>
      <c r="L13" s="7">
        <f t="shared" si="4"/>
        <v>0.2603111723600073</v>
      </c>
      <c r="M13" s="7">
        <f t="shared" si="5"/>
        <v>20.013943623929848</v>
      </c>
      <c r="N13" s="7">
        <f t="shared" si="6"/>
        <v>38.40588140344051</v>
      </c>
      <c r="O13" s="8">
        <f>(M13-N13)^2</f>
        <v>338.2633752853916</v>
      </c>
      <c r="P13" s="9">
        <v>12</v>
      </c>
      <c r="Q13" s="7">
        <f t="shared" si="12"/>
        <v>9.88909946310734</v>
      </c>
      <c r="R13" s="7">
        <f t="shared" si="7"/>
        <v>40141.44195508371</v>
      </c>
      <c r="S13" s="1"/>
    </row>
    <row r="14" spans="1:18" ht="15.75">
      <c r="A14" s="5">
        <f t="shared" si="8"/>
        <v>8</v>
      </c>
      <c r="B14" s="6">
        <v>2</v>
      </c>
      <c r="C14" s="6">
        <v>1</v>
      </c>
      <c r="D14" s="6">
        <v>0</v>
      </c>
      <c r="E14" s="5">
        <f t="shared" si="0"/>
        <v>5</v>
      </c>
      <c r="F14" s="7">
        <f t="shared" si="9"/>
        <v>33.54222351998682</v>
      </c>
      <c r="G14" s="7">
        <f t="shared" si="10"/>
        <v>0.17266490564922898</v>
      </c>
      <c r="H14" s="7">
        <f t="shared" si="11"/>
        <v>0.4465296506554126</v>
      </c>
      <c r="I14" s="7">
        <f t="shared" si="1"/>
        <v>0.46288308146927565</v>
      </c>
      <c r="J14" s="7">
        <f t="shared" si="2"/>
        <v>26.521246976199738</v>
      </c>
      <c r="K14" s="7">
        <f t="shared" si="3"/>
        <v>53.042493952399475</v>
      </c>
      <c r="L14" s="7">
        <f t="shared" si="4"/>
        <v>0.28957824296719364</v>
      </c>
      <c r="M14" s="7">
        <f t="shared" si="5"/>
        <v>19.004586208412483</v>
      </c>
      <c r="N14" s="7">
        <f t="shared" si="6"/>
        <v>37.09934038417916</v>
      </c>
      <c r="O14" s="5">
        <f>(-M14+N14)^2</f>
        <v>327.42012868142547</v>
      </c>
      <c r="P14" s="9">
        <v>12</v>
      </c>
      <c r="Q14" s="7">
        <f t="shared" si="12"/>
        <v>7.631258364752441</v>
      </c>
      <c r="R14" s="7">
        <f t="shared" si="7"/>
        <v>29983.53114946138</v>
      </c>
    </row>
    <row r="15" spans="1:18" ht="15.75">
      <c r="A15" s="5">
        <f t="shared" si="8"/>
        <v>9</v>
      </c>
      <c r="B15" s="6">
        <v>1</v>
      </c>
      <c r="C15" s="6">
        <v>1</v>
      </c>
      <c r="D15" s="6">
        <v>2</v>
      </c>
      <c r="E15" s="5">
        <f t="shared" si="0"/>
        <v>6</v>
      </c>
      <c r="F15" s="7">
        <f t="shared" si="9"/>
        <v>36.68825501645852</v>
      </c>
      <c r="G15" s="7">
        <f t="shared" si="10"/>
        <v>0.1650959698814655</v>
      </c>
      <c r="H15" s="7">
        <f t="shared" si="11"/>
        <v>0.46700110278497864</v>
      </c>
      <c r="I15" s="7">
        <f t="shared" si="1"/>
        <v>0.48589629609918505</v>
      </c>
      <c r="J15" s="7">
        <f t="shared" si="2"/>
        <v>27.83980704752227</v>
      </c>
      <c r="K15" s="7">
        <f t="shared" si="3"/>
        <v>55.67961409504454</v>
      </c>
      <c r="L15" s="7">
        <f t="shared" si="4"/>
        <v>0.30285415226003803</v>
      </c>
      <c r="M15" s="7">
        <f t="shared" si="5"/>
        <v>18.559938566279975</v>
      </c>
      <c r="N15" s="7">
        <f t="shared" si="6"/>
        <v>36.534181921058824</v>
      </c>
      <c r="O15" s="5">
        <f>(-2*M15+2*N15)^2</f>
        <v>1292.2936967072465</v>
      </c>
      <c r="P15" s="9">
        <v>12</v>
      </c>
      <c r="Q15" s="7">
        <f t="shared" si="12"/>
        <v>6.833857817563706</v>
      </c>
      <c r="R15" s="7">
        <f t="shared" si="7"/>
        <v>105976.2165819734</v>
      </c>
    </row>
    <row r="16" spans="1:18" ht="15.75">
      <c r="A16" s="5">
        <f t="shared" si="8"/>
        <v>10</v>
      </c>
      <c r="B16" s="6">
        <v>2</v>
      </c>
      <c r="C16" s="6">
        <v>1</v>
      </c>
      <c r="D16" s="6">
        <v>1</v>
      </c>
      <c r="E16" s="5">
        <f t="shared" si="0"/>
        <v>6</v>
      </c>
      <c r="F16" s="7">
        <f t="shared" si="9"/>
        <v>39.12047761124572</v>
      </c>
      <c r="G16" s="7">
        <f t="shared" si="10"/>
        <v>0.1598813938646586</v>
      </c>
      <c r="H16" s="7">
        <f t="shared" si="11"/>
        <v>0.4822324733124732</v>
      </c>
      <c r="I16" s="7">
        <f t="shared" si="1"/>
        <v>0.5032012898440834</v>
      </c>
      <c r="J16" s="7">
        <f t="shared" si="2"/>
        <v>28.831310153605237</v>
      </c>
      <c r="K16" s="7">
        <f t="shared" si="3"/>
        <v>57.662620307210474</v>
      </c>
      <c r="L16" s="7">
        <f t="shared" si="4"/>
        <v>0.3127318244568568</v>
      </c>
      <c r="M16" s="7">
        <f t="shared" si="5"/>
        <v>18.23536746422517</v>
      </c>
      <c r="N16" s="7">
        <f t="shared" si="6"/>
        <v>36.12526027222108</v>
      </c>
      <c r="O16" s="5">
        <f>(-SQRT(3)*M16+SQRT(3)*N16)^2</f>
        <v>960.1447940447508</v>
      </c>
      <c r="P16" s="9">
        <v>24</v>
      </c>
      <c r="Q16" s="7">
        <f t="shared" si="12"/>
        <v>6.313114697716793</v>
      </c>
      <c r="R16" s="7">
        <f t="shared" si="7"/>
        <v>145476.10106928434</v>
      </c>
    </row>
    <row r="17" spans="1:18" ht="15.75">
      <c r="A17" s="5">
        <f t="shared" si="8"/>
        <v>11</v>
      </c>
      <c r="B17" s="6">
        <v>2</v>
      </c>
      <c r="C17" s="6">
        <v>0</v>
      </c>
      <c r="D17" s="6">
        <v>2</v>
      </c>
      <c r="E17" s="5">
        <f t="shared" si="0"/>
        <v>8</v>
      </c>
      <c r="F17" s="7">
        <f t="shared" si="9"/>
        <v>41.480001233599495</v>
      </c>
      <c r="G17" s="7">
        <f t="shared" si="10"/>
        <v>0.15526752120233558</v>
      </c>
      <c r="H17" s="7">
        <f t="shared" si="11"/>
        <v>0.49656231646493393</v>
      </c>
      <c r="I17" s="7">
        <f t="shared" si="1"/>
        <v>0.5196338084263852</v>
      </c>
      <c r="J17" s="7">
        <f t="shared" si="2"/>
        <v>29.772824115141425</v>
      </c>
      <c r="K17" s="7">
        <f t="shared" si="3"/>
        <v>59.54564823028285</v>
      </c>
      <c r="L17" s="7">
        <f t="shared" si="4"/>
        <v>0.3220248485505408</v>
      </c>
      <c r="M17" s="7">
        <f t="shared" si="5"/>
        <v>17.93515380988596</v>
      </c>
      <c r="N17" s="7">
        <f t="shared" si="6"/>
        <v>35.749489796132664</v>
      </c>
      <c r="O17" s="5">
        <f>(M17+3*N17)^2</f>
        <v>15670.939517049936</v>
      </c>
      <c r="P17" s="9">
        <v>12</v>
      </c>
      <c r="Q17" s="7">
        <f t="shared" si="12"/>
        <v>5.872627977042844</v>
      </c>
      <c r="R17" s="7">
        <f t="shared" si="7"/>
        <v>1104355.1740124847</v>
      </c>
    </row>
    <row r="18" spans="1:18" ht="15.75">
      <c r="A18" s="5">
        <f t="shared" si="8"/>
        <v>12</v>
      </c>
      <c r="B18" s="6">
        <v>3</v>
      </c>
      <c r="C18" s="6">
        <v>0</v>
      </c>
      <c r="D18" s="6">
        <v>0</v>
      </c>
      <c r="E18" s="5">
        <f t="shared" si="0"/>
        <v>9</v>
      </c>
      <c r="F18" s="7">
        <f t="shared" si="9"/>
        <v>43.12571595426877</v>
      </c>
      <c r="G18" s="7">
        <f t="shared" si="10"/>
        <v>0.1522761334987638</v>
      </c>
      <c r="H18" s="7">
        <f t="shared" si="11"/>
        <v>0.5063170322789021</v>
      </c>
      <c r="I18" s="7">
        <f t="shared" si="1"/>
        <v>0.5309085459036602</v>
      </c>
      <c r="J18" s="7">
        <f t="shared" si="2"/>
        <v>30.41881898770726</v>
      </c>
      <c r="K18" s="7">
        <f t="shared" si="3"/>
        <v>60.83763797541452</v>
      </c>
      <c r="L18" s="7">
        <f t="shared" si="4"/>
        <v>0.32835086399409996</v>
      </c>
      <c r="M18" s="7">
        <f t="shared" si="5"/>
        <v>17.733712744858266</v>
      </c>
      <c r="N18" s="7">
        <f t="shared" si="6"/>
        <v>35.49854939108002</v>
      </c>
      <c r="O18" s="5">
        <f>(2*M18-2*N18)^2</f>
        <v>1262.3576842677733</v>
      </c>
      <c r="P18" s="9">
        <v>6</v>
      </c>
      <c r="Q18" s="7">
        <f t="shared" si="12"/>
        <v>5.597570048371451</v>
      </c>
      <c r="R18" s="7">
        <f t="shared" si="7"/>
        <v>42396.813382732995</v>
      </c>
    </row>
    <row r="19" spans="1:18" ht="15.75">
      <c r="A19" s="5">
        <f t="shared" si="8"/>
        <v>13</v>
      </c>
      <c r="B19" s="6">
        <v>1</v>
      </c>
      <c r="C19" s="6">
        <v>0</v>
      </c>
      <c r="D19" s="6">
        <v>3</v>
      </c>
      <c r="E19" s="5">
        <f t="shared" si="0"/>
        <v>10</v>
      </c>
      <c r="F19" s="7">
        <f t="shared" si="9"/>
        <v>54.99603303847106</v>
      </c>
      <c r="G19" s="7">
        <f t="shared" si="10"/>
        <v>0.13484483552829232</v>
      </c>
      <c r="H19" s="7">
        <f t="shared" si="11"/>
        <v>0.5717682823961274</v>
      </c>
      <c r="I19" s="7">
        <f t="shared" si="1"/>
        <v>0.6086595912205549</v>
      </c>
      <c r="J19" s="7">
        <f t="shared" si="2"/>
        <v>34.87362573709573</v>
      </c>
      <c r="K19" s="7">
        <f t="shared" si="3"/>
        <v>69.74725147419146</v>
      </c>
      <c r="L19" s="7">
        <f t="shared" si="4"/>
        <v>0.370796551489058</v>
      </c>
      <c r="M19" s="7">
        <f t="shared" si="5"/>
        <v>16.442957997500315</v>
      </c>
      <c r="N19" s="7">
        <f t="shared" si="6"/>
        <v>33.906330582812664</v>
      </c>
      <c r="O19" s="5">
        <f>(SQRT(3)*M19-SQRT(3)*N19)^2</f>
        <v>914.9081461603166</v>
      </c>
      <c r="P19" s="9">
        <v>12</v>
      </c>
      <c r="Q19" s="7">
        <f t="shared" si="12"/>
        <v>4.175202977839502</v>
      </c>
      <c r="R19" s="7">
        <f t="shared" si="7"/>
        <v>45839.12659557808</v>
      </c>
    </row>
    <row r="20" spans="8:17" ht="15.75">
      <c r="H20" s="7"/>
      <c r="I20" s="7"/>
      <c r="J20" s="7"/>
      <c r="K20" s="7"/>
      <c r="L20" s="7"/>
      <c r="M20" s="7"/>
      <c r="N20" s="7"/>
      <c r="Q20" s="7"/>
    </row>
    <row r="21" spans="8:18" ht="15.75">
      <c r="H21" s="7"/>
      <c r="I21" s="7"/>
      <c r="J21" s="7"/>
      <c r="K21" s="7"/>
      <c r="L21" s="7"/>
      <c r="M21" s="7"/>
      <c r="N21" s="7"/>
      <c r="Q21" s="10" t="s">
        <v>10</v>
      </c>
      <c r="R21" s="7">
        <f>MAX(R7:R19)</f>
        <v>3837187.1001991057</v>
      </c>
    </row>
    <row r="22" spans="8:17" ht="15.75">
      <c r="H22" s="7"/>
      <c r="I22" s="7"/>
      <c r="J22" s="7"/>
      <c r="K22" s="7"/>
      <c r="L22" s="7"/>
      <c r="M22" s="7"/>
      <c r="N22" s="7"/>
      <c r="Q22" s="7"/>
    </row>
    <row r="23" spans="8:17" ht="15.75">
      <c r="H23" s="7"/>
      <c r="I23" s="7"/>
      <c r="J23" s="7"/>
      <c r="K23" s="7"/>
      <c r="L23" s="7"/>
      <c r="M23" s="7"/>
      <c r="N23" s="7"/>
      <c r="Q23" s="7"/>
    </row>
    <row r="24" spans="8:18" ht="15.75">
      <c r="H24" s="7"/>
      <c r="I24" s="7"/>
      <c r="J24" s="7"/>
      <c r="K24" s="7"/>
      <c r="L24" s="7"/>
      <c r="M24" s="7"/>
      <c r="N24" s="7"/>
      <c r="Q24" s="7"/>
      <c r="R24" s="7"/>
    </row>
    <row r="26" spans="1:3" ht="15.75">
      <c r="A26" s="3" t="s">
        <v>19</v>
      </c>
      <c r="C26" s="4" t="s">
        <v>4</v>
      </c>
    </row>
    <row r="27" spans="1:3" ht="15.75">
      <c r="A27" s="7">
        <f>K7</f>
        <v>19.432896447520232</v>
      </c>
      <c r="C27" s="11">
        <f>(R7/$R$21)*100</f>
        <v>4.4861980040782425</v>
      </c>
    </row>
    <row r="28" spans="1:3" ht="15.75">
      <c r="A28" s="7">
        <f>K8</f>
        <v>28.751646537136626</v>
      </c>
      <c r="C28" s="11">
        <f aca="true" t="shared" si="13" ref="C28:C39">(R8/$R$21)*100</f>
        <v>10.830434526777598</v>
      </c>
    </row>
    <row r="29" spans="1:3" ht="15.75">
      <c r="A29" s="7">
        <f>K9</f>
        <v>33.99407699503688</v>
      </c>
      <c r="C29" s="11">
        <f t="shared" si="13"/>
        <v>4.809965750587264</v>
      </c>
    </row>
    <row r="30" spans="1:3" ht="15.75">
      <c r="A30" s="7">
        <f aca="true" t="shared" si="14" ref="A30:A39">K10</f>
        <v>39.454707246590566</v>
      </c>
      <c r="C30" s="11">
        <f t="shared" si="13"/>
        <v>47.33094936353679</v>
      </c>
    </row>
    <row r="31" spans="1:3" ht="15.75">
      <c r="A31" s="7">
        <f t="shared" si="14"/>
        <v>42.71605268819939</v>
      </c>
      <c r="C31" s="11">
        <f t="shared" si="13"/>
        <v>50.5621258906326</v>
      </c>
    </row>
    <row r="32" spans="1:3" ht="15.75">
      <c r="A32" s="7">
        <f t="shared" si="14"/>
        <v>45.105116914850164</v>
      </c>
      <c r="C32" s="11">
        <f t="shared" si="13"/>
        <v>100</v>
      </c>
    </row>
    <row r="33" spans="1:3" ht="15.75">
      <c r="A33" s="7">
        <f t="shared" si="14"/>
        <v>47.33143536131371</v>
      </c>
      <c r="C33" s="11">
        <f t="shared" si="13"/>
        <v>1.0461163583344903</v>
      </c>
    </row>
    <row r="34" spans="1:3" ht="15.75">
      <c r="A34" s="7">
        <f t="shared" si="14"/>
        <v>53.042493952399475</v>
      </c>
      <c r="C34" s="11">
        <f t="shared" si="13"/>
        <v>0.7813935147417123</v>
      </c>
    </row>
    <row r="35" spans="1:3" ht="15.75">
      <c r="A35" s="7">
        <f t="shared" si="14"/>
        <v>55.67961409504454</v>
      </c>
      <c r="C35" s="11">
        <f t="shared" si="13"/>
        <v>2.761820412053258</v>
      </c>
    </row>
    <row r="36" spans="1:3" ht="15.75">
      <c r="A36" s="7">
        <f t="shared" si="14"/>
        <v>57.662620307210474</v>
      </c>
      <c r="C36" s="11">
        <f t="shared" si="13"/>
        <v>3.7912172972158644</v>
      </c>
    </row>
    <row r="37" spans="1:3" ht="15.75">
      <c r="A37" s="7">
        <f t="shared" si="14"/>
        <v>59.54564823028285</v>
      </c>
      <c r="C37" s="11">
        <f t="shared" si="13"/>
        <v>28.780331664181336</v>
      </c>
    </row>
    <row r="38" spans="1:3" ht="15.75">
      <c r="A38" s="7">
        <f t="shared" si="14"/>
        <v>60.83763797541452</v>
      </c>
      <c r="C38" s="11">
        <f t="shared" si="13"/>
        <v>1.1048930447132246</v>
      </c>
    </row>
    <row r="39" spans="1:3" ht="15.75">
      <c r="A39" s="7">
        <f t="shared" si="14"/>
        <v>69.74725147419146</v>
      </c>
      <c r="C39" s="11">
        <f t="shared" si="13"/>
        <v>1.19460233234912</v>
      </c>
    </row>
  </sheetData>
  <sheetProtection/>
  <printOptions/>
  <pageMargins left="0.75" right="0.75" top="1" bottom="1" header="0.5" footer="0.5"/>
  <pageSetup fitToHeight="1" fitToWidth="1" orientation="landscape" scale="5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Nevada, Reno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Olivia Graeve</dc:creator>
  <cp:keywords/>
  <dc:description/>
  <cp:lastModifiedBy>Olivia Graeve</cp:lastModifiedBy>
  <cp:lastPrinted>2016-10-25T21:16:00Z</cp:lastPrinted>
  <dcterms:created xsi:type="dcterms:W3CDTF">2003-03-27T16:47:12Z</dcterms:created>
  <dcterms:modified xsi:type="dcterms:W3CDTF">2020-10-21T21:17:44Z</dcterms:modified>
  <cp:category/>
  <cp:version/>
  <cp:contentType/>
  <cp:contentStatus/>
</cp:coreProperties>
</file>